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0250" windowHeight="8025" firstSheet="2" activeTab="8"/>
  </bookViews>
  <sheets>
    <sheet name="20" sheetId="1" r:id="rId1"/>
    <sheet name="21" sheetId="2" r:id="rId2"/>
    <sheet name="22" sheetId="3" r:id="rId3"/>
    <sheet name="23" sheetId="5" r:id="rId4"/>
    <sheet name="24" sheetId="6" r:id="rId5"/>
    <sheet name="25" sheetId="8" r:id="rId6"/>
    <sheet name="26" sheetId="9" r:id="rId7"/>
    <sheet name="27" sheetId="10" r:id="rId8"/>
    <sheet name="28" sheetId="11" r:id="rId9"/>
    <sheet name="29" sheetId="12" r:id="rId10"/>
    <sheet name="30" sheetId="13" r:id="rId11"/>
    <sheet name="31" sheetId="15" r:id="rId12"/>
    <sheet name="32" sheetId="16" r:id="rId13"/>
    <sheet name="33" sheetId="17" r:id="rId14"/>
    <sheet name="34" sheetId="18" r:id="rId15"/>
    <sheet name="35" sheetId="20" r:id="rId16"/>
    <sheet name="36" sheetId="21" r:id="rId17"/>
    <sheet name="37" sheetId="26" r:id="rId18"/>
    <sheet name="39" sheetId="27" r:id="rId19"/>
    <sheet name="40" sheetId="28" r:id="rId20"/>
    <sheet name="38" sheetId="29" r:id="rId21"/>
  </sheets>
  <calcPr calcId="144525"/>
</workbook>
</file>

<file path=xl/calcChain.xml><?xml version="1.0" encoding="utf-8"?>
<calcChain xmlns="http://schemas.openxmlformats.org/spreadsheetml/2006/main">
  <c r="H4" i="11" l="1"/>
  <c r="H2" i="11"/>
  <c r="G6" i="11"/>
  <c r="G4" i="11"/>
  <c r="G2" i="11"/>
  <c r="C15" i="29"/>
  <c r="C3" i="29"/>
  <c r="C4" i="29"/>
  <c r="C5" i="29"/>
  <c r="C6" i="29"/>
  <c r="C7" i="29"/>
  <c r="C8" i="29"/>
  <c r="C9" i="29"/>
  <c r="C10" i="29"/>
  <c r="C11" i="29"/>
  <c r="C12" i="29"/>
  <c r="C13" i="29"/>
  <c r="C14" i="29"/>
  <c r="C2" i="29"/>
  <c r="B15" i="29"/>
  <c r="A7" i="28"/>
  <c r="A6" i="28"/>
  <c r="A5" i="28"/>
  <c r="B4" i="27" l="1"/>
  <c r="B5" i="27" s="1"/>
  <c r="B6" i="27" s="1"/>
  <c r="B4" i="26"/>
  <c r="B2" i="26"/>
  <c r="B6" i="26"/>
  <c r="E7" i="21"/>
  <c r="E3" i="21"/>
  <c r="E4" i="21"/>
  <c r="E5" i="21"/>
  <c r="E6" i="21"/>
  <c r="E2" i="21"/>
  <c r="D3" i="21"/>
  <c r="D4" i="21"/>
  <c r="D5" i="21"/>
  <c r="D6" i="21"/>
  <c r="D2" i="21"/>
  <c r="B8" i="21"/>
  <c r="C7" i="21"/>
  <c r="B7" i="21"/>
  <c r="C3" i="21"/>
  <c r="C4" i="21"/>
  <c r="C5" i="21"/>
  <c r="C6" i="21"/>
  <c r="C2" i="21"/>
  <c r="C3" i="20"/>
  <c r="C4" i="20"/>
  <c r="C5" i="20"/>
  <c r="C6" i="20"/>
  <c r="C7" i="20"/>
  <c r="C8" i="20"/>
  <c r="C9" i="20"/>
  <c r="C2" i="20"/>
  <c r="B10" i="20"/>
  <c r="B11" i="20" s="1"/>
  <c r="B12" i="20" l="1"/>
  <c r="B13" i="20"/>
  <c r="B9" i="18"/>
  <c r="B8" i="18"/>
  <c r="B7" i="18"/>
  <c r="D2" i="18"/>
  <c r="C2" i="18"/>
  <c r="A1" i="17"/>
  <c r="B12" i="16"/>
  <c r="B11" i="16"/>
  <c r="B10" i="16"/>
  <c r="B9" i="16"/>
  <c r="B8" i="16"/>
  <c r="B7" i="16"/>
  <c r="B6" i="16"/>
  <c r="B5" i="16"/>
  <c r="B4" i="16"/>
  <c r="B3" i="16"/>
  <c r="B2" i="16"/>
  <c r="C3" i="15"/>
  <c r="C4" i="15" s="1"/>
  <c r="C5" i="15" s="1"/>
  <c r="C6" i="15" s="1"/>
  <c r="C7" i="15" s="1"/>
  <c r="C8" i="15" s="1"/>
  <c r="C9" i="15" s="1"/>
  <c r="C10" i="15" s="1"/>
  <c r="C2" i="15"/>
  <c r="C1" i="15"/>
  <c r="F7" i="12"/>
  <c r="F6" i="12"/>
  <c r="F5" i="12"/>
  <c r="F4" i="12"/>
  <c r="F3" i="12"/>
  <c r="F2" i="12"/>
  <c r="D4" i="12"/>
  <c r="D3" i="12"/>
  <c r="D2" i="12"/>
  <c r="E4" i="13" l="1"/>
  <c r="E3" i="13"/>
  <c r="E2" i="13"/>
  <c r="D2" i="13"/>
  <c r="F2" i="11"/>
  <c r="D4" i="9"/>
  <c r="B3" i="10"/>
  <c r="B8" i="8" l="1"/>
  <c r="B7" i="8"/>
  <c r="C6" i="8"/>
  <c r="C5" i="8"/>
  <c r="C4" i="8"/>
  <c r="C3" i="8"/>
  <c r="C2" i="8"/>
  <c r="B6" i="8"/>
  <c r="B5" i="8"/>
  <c r="B4" i="8"/>
  <c r="B3" i="8"/>
  <c r="B2" i="8"/>
  <c r="F2" i="5"/>
  <c r="D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4" i="5"/>
  <c r="C5" i="5"/>
  <c r="C6" i="5"/>
  <c r="C2" i="5"/>
  <c r="F4" i="3"/>
  <c r="E2" i="3"/>
  <c r="B31" i="3"/>
  <c r="C31" i="3"/>
  <c r="D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G11" i="2"/>
</calcChain>
</file>

<file path=xl/sharedStrings.xml><?xml version="1.0" encoding="utf-8"?>
<sst xmlns="http://schemas.openxmlformats.org/spreadsheetml/2006/main" count="269" uniqueCount="198">
  <si>
    <t>Supplier</t>
  </si>
  <si>
    <t>Order No</t>
  </si>
  <si>
    <t>Item No</t>
  </si>
  <si>
    <t>Item Descrpition</t>
  </si>
  <si>
    <t>Item Cost</t>
  </si>
  <si>
    <t>Quantity</t>
  </si>
  <si>
    <t>Cost per order</t>
  </si>
  <si>
    <t>A/P Terms(Months)</t>
  </si>
  <si>
    <t>Order Date</t>
  </si>
  <si>
    <t>Arrival Date</t>
  </si>
  <si>
    <t>Hulkey Fasteners</t>
  </si>
  <si>
    <t>Aug11001</t>
  </si>
  <si>
    <t>Airframe fasterners</t>
  </si>
  <si>
    <t>13-8-2011</t>
  </si>
  <si>
    <t>Alum Sheeting</t>
  </si>
  <si>
    <t>Aug11002</t>
  </si>
  <si>
    <t>14-8-2011</t>
  </si>
  <si>
    <t>Fast_Tie Aerospace</t>
  </si>
  <si>
    <t>Aug11003</t>
  </si>
  <si>
    <t>Shielded Cable/ft</t>
  </si>
  <si>
    <t>Aug11004</t>
  </si>
  <si>
    <t>15-08-2011</t>
  </si>
  <si>
    <t>22-8-2011</t>
  </si>
  <si>
    <t>Steelpin Inc</t>
  </si>
  <si>
    <t>Aug11005</t>
  </si>
  <si>
    <t>20-08-2011</t>
  </si>
  <si>
    <t>27-8-2011</t>
  </si>
  <si>
    <t>Aug11006</t>
  </si>
  <si>
    <t>26-8-2011</t>
  </si>
  <si>
    <t>Aug11007</t>
  </si>
  <si>
    <t>Bolt-nut package</t>
  </si>
  <si>
    <t>Durrable Products</t>
  </si>
  <si>
    <t>Aug11008</t>
  </si>
  <si>
    <t>Pressure Gauge</t>
  </si>
  <si>
    <t>25-08-2011</t>
  </si>
  <si>
    <t>28-8-2011</t>
  </si>
  <si>
    <t>Aug11009</t>
  </si>
  <si>
    <t>O-Ring</t>
  </si>
  <si>
    <t>Aug11010</t>
  </si>
  <si>
    <t>Aug11011</t>
  </si>
  <si>
    <t>Aug11012</t>
  </si>
  <si>
    <t>Electrical Connector</t>
  </si>
  <si>
    <t>27-08-2011</t>
  </si>
  <si>
    <t>29-8-2011</t>
  </si>
  <si>
    <t>Aug11013</t>
  </si>
  <si>
    <t>Hatch Decal</t>
  </si>
  <si>
    <t>28-08-2011</t>
  </si>
  <si>
    <t>30-9-2011</t>
  </si>
  <si>
    <t>Aug11014</t>
  </si>
  <si>
    <t>Sep11001</t>
  </si>
  <si>
    <t>Sep11002</t>
  </si>
  <si>
    <t>Control panel</t>
  </si>
  <si>
    <t>$1,03,530.00</t>
  </si>
  <si>
    <t>Sep11003</t>
  </si>
  <si>
    <t>Sep11004</t>
  </si>
  <si>
    <t>Sep11005</t>
  </si>
  <si>
    <t>Sep11006</t>
  </si>
  <si>
    <t>Spacetime technology</t>
  </si>
  <si>
    <t>Sep11007</t>
  </si>
  <si>
    <t>20-9-2011</t>
  </si>
  <si>
    <t>Sep11008</t>
  </si>
  <si>
    <t>Sep11009</t>
  </si>
  <si>
    <t>Sep11010</t>
  </si>
  <si>
    <t>13-9-2011</t>
  </si>
  <si>
    <t>Sep11011</t>
  </si>
  <si>
    <t>Sep11012</t>
  </si>
  <si>
    <t>Sep11013</t>
  </si>
  <si>
    <t>Sep11014</t>
  </si>
  <si>
    <t>15-9-2011</t>
  </si>
  <si>
    <t>Sep11015</t>
  </si>
  <si>
    <t>Sep11016</t>
  </si>
  <si>
    <t>Sep11017</t>
  </si>
  <si>
    <t>23-9-2011</t>
  </si>
  <si>
    <t>Sep11018</t>
  </si>
  <si>
    <t>Sep11019</t>
  </si>
  <si>
    <t>15-10-2011</t>
  </si>
  <si>
    <t>mean</t>
  </si>
  <si>
    <t>standard deviation</t>
  </si>
  <si>
    <t>∑[xi*p(xi)]</t>
  </si>
  <si>
    <t>Ticket</t>
  </si>
  <si>
    <t>multiiple of 5</t>
  </si>
  <si>
    <t>multiiple of 7</t>
  </si>
  <si>
    <t>Multiple of 5 or 7</t>
  </si>
  <si>
    <t>Count and Calculate Probability</t>
  </si>
  <si>
    <t>probability</t>
  </si>
  <si>
    <t>total event</t>
  </si>
  <si>
    <t>die 1</t>
  </si>
  <si>
    <t>die2</t>
  </si>
  <si>
    <t>total</t>
  </si>
  <si>
    <t>Favorable Outcomes</t>
  </si>
  <si>
    <t>total utcome</t>
  </si>
  <si>
    <t>A</t>
  </si>
  <si>
    <t>Student</t>
  </si>
  <si>
    <t>Probability of Solving</t>
  </si>
  <si>
    <t>Probability of Not Solving</t>
  </si>
  <si>
    <t>C</t>
  </si>
  <si>
    <t>D</t>
  </si>
  <si>
    <t>E</t>
  </si>
  <si>
    <t>B</t>
  </si>
  <si>
    <t>Probability that None Solve</t>
  </si>
  <si>
    <t>Probability that At Least One Solves</t>
  </si>
  <si>
    <t>contestant</t>
  </si>
  <si>
    <t>number of prizes</t>
  </si>
  <si>
    <t>Questions</t>
  </si>
  <si>
    <t>Answer of question</t>
  </si>
  <si>
    <t>combinatin of 4 question</t>
  </si>
  <si>
    <t>AGE</t>
  </si>
  <si>
    <t>MASTER DEGREE</t>
  </si>
  <si>
    <t>TOTAL</t>
  </si>
  <si>
    <t>UNDER 30</t>
  </si>
  <si>
    <t>30-40</t>
  </si>
  <si>
    <t>OVER 40</t>
  </si>
  <si>
    <t>BACHELORS DEGREE ONLY</t>
  </si>
  <si>
    <t>Plant</t>
  </si>
  <si>
    <t>Production Fraction</t>
  </si>
  <si>
    <t>Defective Fraction</t>
  </si>
  <si>
    <t>Calculate P(D)</t>
  </si>
  <si>
    <t>P(A|D),P(B|D),P(C|D)</t>
  </si>
  <si>
    <t>Category</t>
  </si>
  <si>
    <t>Cell Phone User</t>
  </si>
  <si>
    <t>Not Cell Phone User</t>
  </si>
  <si>
    <t>Speeding Violation</t>
  </si>
  <si>
    <t>No Speeding Violation</t>
  </si>
  <si>
    <t>Total</t>
  </si>
  <si>
    <t>Probability</t>
  </si>
  <si>
    <t>calculate the probability of being a cell phone user</t>
  </si>
  <si>
    <t>calculate the probability of having no speeding violations</t>
  </si>
  <si>
    <t>calculate the probability of no violations and being a cell phone user</t>
  </si>
  <si>
    <t>calculate the probability of being a cell phone user or having no violations</t>
  </si>
  <si>
    <t>calculate the probability of being a cell phone user and having a speeding violation</t>
  </si>
  <si>
    <t>calculate the probability of having no violations and not being a cell phone user</t>
  </si>
  <si>
    <t>X(sum)</t>
  </si>
  <si>
    <t>Probability(px)</t>
  </si>
  <si>
    <t>This formula calculates the probability of getting exactly 5 heads (successes) in 10 flips (trials) with a probability of success of 0.5 (for a fair coin).</t>
  </si>
  <si>
    <t>The value returned will be approximately 0.2461, which means there’s about a 24.61% chance of getting exactly 5 heads in 10 flips of a fair coin.</t>
  </si>
  <si>
    <r>
      <t>Number of Trials (n)</t>
    </r>
    <r>
      <rPr>
        <sz val="11"/>
        <color theme="1"/>
        <rFont val="Calibri"/>
        <family val="2"/>
        <scheme val="minor"/>
      </rPr>
      <t xml:space="preserve"> </t>
    </r>
  </si>
  <si>
    <r>
      <t>Probability of Success (p)</t>
    </r>
    <r>
      <rPr>
        <sz val="11"/>
        <color theme="1"/>
        <rFont val="Calibri"/>
        <family val="2"/>
        <scheme val="minor"/>
      </rPr>
      <t xml:space="preserve"> (the probability of getting heads)</t>
    </r>
  </si>
  <si>
    <r>
      <t>Probability of Failure (q)</t>
    </r>
    <r>
      <rPr>
        <sz val="11"/>
        <color theme="1"/>
        <rFont val="Calibri"/>
        <family val="2"/>
        <scheme val="minor"/>
      </rPr>
      <t xml:space="preserve"> (the probability of getting tails)</t>
    </r>
  </si>
  <si>
    <t>Probability of Exactly 6 Heads</t>
  </si>
  <si>
    <t>Probability of No Heads</t>
  </si>
  <si>
    <t>Probability of At Least One Head</t>
  </si>
  <si>
    <t>X</t>
  </si>
  <si>
    <t>(X)</t>
  </si>
  <si>
    <t xml:space="preserve"> f(x)</t>
  </si>
  <si>
    <t>Total (n)</t>
  </si>
  <si>
    <t>Mean (μ)</t>
  </si>
  <si>
    <t>Variance (σ²)</t>
  </si>
  <si>
    <t>Probability of Success (p)</t>
  </si>
  <si>
    <t>Binomial distribution</t>
  </si>
  <si>
    <t>f</t>
  </si>
  <si>
    <t>X*f</t>
  </si>
  <si>
    <t>Poisson Probability</t>
  </si>
  <si>
    <t>Expected f</t>
  </si>
  <si>
    <t>λ (mean)</t>
  </si>
  <si>
    <r>
      <t>Use the POISSON.DIST Function</t>
    </r>
    <r>
      <rPr>
        <sz val="11"/>
        <color theme="1"/>
        <rFont val="Calibri"/>
        <family val="2"/>
        <scheme val="minor"/>
      </rPr>
      <t xml:space="preserve"> in Excel: POISSON.DIST(X, λ, FALSE)</t>
    </r>
  </si>
  <si>
    <r>
      <t>Multiply the Probability by Total f</t>
    </r>
    <r>
      <rPr>
        <sz val="11"/>
        <color theme="1"/>
        <rFont val="Calibri"/>
        <family val="2"/>
        <scheme val="minor"/>
      </rPr>
      <t xml:space="preserve"> (325):POISSON.DIST(0, 0.440, FALSE) * 325</t>
    </r>
  </si>
  <si>
    <t>Parameter</t>
  </si>
  <si>
    <t>Value</t>
  </si>
  <si>
    <t>Probability of 6 Heads (P)</t>
  </si>
  <si>
    <t>Number of Tosses</t>
  </si>
  <si>
    <t>Mean (λ)</t>
  </si>
  <si>
    <t>Number of Occurrences (X)</t>
  </si>
  <si>
    <t>Probability for X = 2</t>
  </si>
  <si>
    <t>Standard Deviation (σ)</t>
  </si>
  <si>
    <t>Height to Compare (X)</t>
  </si>
  <si>
    <t>Z-Score Calculation</t>
  </si>
  <si>
    <t>Cumulative Probability (P(X ≤ 68))</t>
  </si>
  <si>
    <t>Percentage of Women Taller than 68</t>
  </si>
  <si>
    <t>Lower bound score (66)</t>
  </si>
  <si>
    <t>Upper bound score (70)</t>
  </si>
  <si>
    <t>Mean score (68)</t>
  </si>
  <si>
    <t>Standard deviation (3)</t>
  </si>
  <si>
    <t>Cumulative probability for 70</t>
  </si>
  <si>
    <t>Cumulative probability for 66</t>
  </si>
  <si>
    <t>Probability between 66 and 70</t>
  </si>
  <si>
    <t>EMP ID</t>
  </si>
  <si>
    <t>Weight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</si>
  <si>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</si>
  <si>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</si>
  <si>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</si>
  <si>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</si>
  <si>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</si>
  <si>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</si>
  <si>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</si>
  <si>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</si>
  <si>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</si>
  <si>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</si>
  <si>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</si>
  <si>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</si>
  <si>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</si>
  <si>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Toatl weight</t>
  </si>
  <si>
    <t>Prbability</t>
  </si>
  <si>
    <t>master’s degree and being over 40:</t>
  </si>
  <si>
    <t xml:space="preserve"> Probability of only Bachelors degree</t>
  </si>
  <si>
    <t>probability of being over 40.</t>
  </si>
  <si>
    <t>conditional probability (master’s degree given over 40)</t>
  </si>
  <si>
    <t>the probability of being under 30 and having a bachelor’s degree</t>
  </si>
  <si>
    <t>conditional probability( under 30 and having only a bachelor’s 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</si>
</sst>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8" fontId="0" fillId="0" borderId="4" xfId="0" applyNumberFormat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4" fillId="0" borderId="0" xfId="0" applyFont="1" applyAlignment="1">
      <alignment horizontal="left" vertical="center" indent="10"/>
    </xf>
    <xf numFmtId="0" fontId="1" fillId="2" borderId="0" xfId="0" applyFont="1" applyFill="1"/>
    <xf numFmtId="0" fontId="1" fillId="0" borderId="0" xfId="0" applyFont="1" applyAlignment="1">
      <alignment vertical="center" wrapText="1"/>
    </xf>
    <xf numFmtId="0" fontId="0" fillId="0" borderId="0" xfId="0"/>
    <xf numFmtId="0" fontId="7" fillId="0" borderId="0" xfId="0" applyFont="1"/>
    <xf numFmtId="0" fontId="8" fillId="0" borderId="0" xfId="0" applyFont="1"/>
    <xf numFmtId="0" fontId="2" fillId="0" borderId="0" xfId="0" applyFont="1"/>
    <xf numFmtId="0" fontId="0" fillId="0" borderId="0" xfId="0"/>
    <xf numFmtId="0" fontId="10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1" fillId="2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Fill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'31'!$A$1:$A$10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'31'!$B$1:$B$10</c:f>
              <c:numCache>
                <c:formatCode>General</c:formatCode>
                <c:ptCount val="10"/>
                <c:pt idx="0">
                  <c:v>0.12</c:v>
                </c:pt>
                <c:pt idx="1">
                  <c:v>0.25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0.17</c:v>
                </c:pt>
                <c:pt idx="6">
                  <c:v>0.06</c:v>
                </c:pt>
                <c:pt idx="7">
                  <c:v>0.27</c:v>
                </c:pt>
                <c:pt idx="8">
                  <c:v>0.4</c:v>
                </c:pt>
                <c:pt idx="9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88800"/>
        <c:axId val="75390336"/>
      </c:barChart>
      <c:catAx>
        <c:axId val="753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5390336"/>
        <c:crosses val="autoZero"/>
        <c:auto val="1"/>
        <c:lblAlgn val="ctr"/>
        <c:lblOffset val="100"/>
        <c:noMultiLvlLbl val="0"/>
      </c:catAx>
      <c:valAx>
        <c:axId val="753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'31'!$A$1:$A$10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'31'!$C$1:$C$10</c:f>
              <c:numCache>
                <c:formatCode>General</c:formatCode>
                <c:ptCount val="10"/>
                <c:pt idx="0">
                  <c:v>0.12</c:v>
                </c:pt>
                <c:pt idx="1">
                  <c:v>0.37</c:v>
                </c:pt>
                <c:pt idx="2">
                  <c:v>0.45</c:v>
                </c:pt>
                <c:pt idx="3">
                  <c:v>0.59000000000000008</c:v>
                </c:pt>
                <c:pt idx="4">
                  <c:v>0.68</c:v>
                </c:pt>
                <c:pt idx="5">
                  <c:v>0.85000000000000009</c:v>
                </c:pt>
                <c:pt idx="6">
                  <c:v>0.91000000000000014</c:v>
                </c:pt>
                <c:pt idx="7">
                  <c:v>1.1800000000000002</c:v>
                </c:pt>
                <c:pt idx="8">
                  <c:v>1.58</c:v>
                </c:pt>
                <c:pt idx="9">
                  <c:v>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1040"/>
        <c:axId val="96152576"/>
      </c:lineChart>
      <c:catAx>
        <c:axId val="961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6152576"/>
        <c:crosses val="autoZero"/>
        <c:auto val="1"/>
        <c:lblAlgn val="ctr"/>
        <c:lblOffset val="100"/>
        <c:noMultiLvlLbl val="0"/>
      </c:catAx>
      <c:valAx>
        <c:axId val="96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'32'!$A$1</c:f>
              <c:strCache>
                <c:ptCount val="1"/>
                <c:pt idx="0">
                  <c:v>X(sum)</c:v>
                </c:pt>
              </c:strCache>
            </c:strRef>
          </c:tx>
          <c:invertIfNegative val="0"/>
          <c:val>
            <c:numRef>
              <c:f>'32'!$A$2:$A$12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'32'!$B$1</c:f>
              <c:strCache>
                <c:ptCount val="1"/>
                <c:pt idx="0">
                  <c:v>Probability(px)</c:v>
                </c:pt>
              </c:strCache>
            </c:strRef>
          </c:tx>
          <c:invertIfNegative val="0"/>
          <c:val>
            <c:numRef>
              <c:f>'32'!$B$2:$B$12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17760"/>
        <c:axId val="96691328"/>
        <c:axId val="0"/>
      </c:bar3DChart>
      <c:catAx>
        <c:axId val="2009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691328"/>
        <c:crosses val="autoZero"/>
        <c:auto val="1"/>
        <c:lblAlgn val="ctr"/>
        <c:lblOffset val="100"/>
        <c:noMultiLvlLbl val="0"/>
      </c:catAx>
      <c:valAx>
        <c:axId val="96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85724</xdr:colOff>
      <xdr:row>8</xdr:row>
      <xdr:rowOff>28574</xdr:rowOff>
    </xdr:to>
    <xdr:pic>
      <xdr:nvPicPr>
        <xdr:cNvPr id="2" name="Image 44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352924" cy="1552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152400</xdr:rowOff>
    </xdr:from>
    <xdr:to>
      <xdr:col>11</xdr:col>
      <xdr:colOff>190500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4</xdr:row>
      <xdr:rowOff>47625</xdr:rowOff>
    </xdr:from>
    <xdr:to>
      <xdr:col>17</xdr:col>
      <xdr:colOff>590551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104775</xdr:rowOff>
    </xdr:from>
    <xdr:to>
      <xdr:col>14</xdr:col>
      <xdr:colOff>285750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1" workbookViewId="0">
      <selection activeCell="C6" sqref="C6"/>
    </sheetView>
  </sheetViews>
  <sheetFormatPr defaultRowHeight="15" x14ac:dyDescent="0.25"/>
  <cols>
    <col min="1" max="1" width="30.42578125" customWidth="1"/>
    <col min="2" max="2" width="11.42578125" customWidth="1"/>
    <col min="3" max="3" width="15.42578125" customWidth="1"/>
    <col min="4" max="4" width="18" customWidth="1"/>
    <col min="5" max="5" width="16" customWidth="1"/>
    <col min="6" max="6" width="13.28515625" customWidth="1"/>
    <col min="7" max="7" width="24.85546875" customWidth="1"/>
    <col min="8" max="8" width="20.42578125" customWidth="1"/>
    <col min="9" max="9" width="17.7109375" customWidth="1"/>
    <col min="10" max="10" width="19.570312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5.75" thickBot="1" x14ac:dyDescent="0.3">
      <c r="A2" s="1" t="s">
        <v>10</v>
      </c>
      <c r="B2" s="2" t="s">
        <v>11</v>
      </c>
      <c r="C2" s="2">
        <v>1122</v>
      </c>
      <c r="D2" s="2" t="s">
        <v>12</v>
      </c>
      <c r="E2" s="3">
        <v>4.25</v>
      </c>
      <c r="F2" s="2">
        <v>19500</v>
      </c>
      <c r="G2" s="6">
        <v>82875</v>
      </c>
      <c r="H2" s="2">
        <v>30</v>
      </c>
      <c r="I2" s="4">
        <v>40671</v>
      </c>
      <c r="J2" s="5" t="s">
        <v>13</v>
      </c>
    </row>
    <row r="3" spans="1:10" ht="15.75" thickBot="1" x14ac:dyDescent="0.3">
      <c r="A3" s="1" t="s">
        <v>14</v>
      </c>
      <c r="B3" s="2" t="s">
        <v>15</v>
      </c>
      <c r="C3" s="2">
        <v>1243</v>
      </c>
      <c r="D3" s="2" t="s">
        <v>12</v>
      </c>
      <c r="E3" s="3">
        <v>4.25</v>
      </c>
      <c r="F3" s="2">
        <v>10000</v>
      </c>
      <c r="G3" s="6">
        <v>42500</v>
      </c>
      <c r="H3" s="2">
        <v>30</v>
      </c>
      <c r="I3" s="4">
        <v>40763</v>
      </c>
      <c r="J3" s="5" t="s">
        <v>16</v>
      </c>
    </row>
    <row r="4" spans="1:10" ht="15.75" thickBot="1" x14ac:dyDescent="0.3">
      <c r="A4" s="1" t="s">
        <v>17</v>
      </c>
      <c r="B4" s="2" t="s">
        <v>18</v>
      </c>
      <c r="C4" s="2">
        <v>5462</v>
      </c>
      <c r="D4" s="2" t="s">
        <v>19</v>
      </c>
      <c r="E4" s="3">
        <v>1.05</v>
      </c>
      <c r="F4" s="2">
        <v>23000</v>
      </c>
      <c r="G4" s="6">
        <v>24150</v>
      </c>
      <c r="H4" s="2">
        <v>30</v>
      </c>
      <c r="I4" s="4">
        <v>40824</v>
      </c>
      <c r="J4" s="5" t="s">
        <v>16</v>
      </c>
    </row>
    <row r="5" spans="1:10" ht="15.75" thickBot="1" x14ac:dyDescent="0.3">
      <c r="A5" s="1" t="s">
        <v>17</v>
      </c>
      <c r="B5" s="2" t="s">
        <v>20</v>
      </c>
      <c r="C5" s="2">
        <v>5462</v>
      </c>
      <c r="D5" s="2" t="s">
        <v>19</v>
      </c>
      <c r="E5" s="3">
        <v>1.05</v>
      </c>
      <c r="F5" s="2">
        <v>21500</v>
      </c>
      <c r="G5" s="6">
        <v>22575</v>
      </c>
      <c r="H5" s="2">
        <v>30</v>
      </c>
      <c r="I5" s="5" t="s">
        <v>21</v>
      </c>
      <c r="J5" s="5" t="s">
        <v>22</v>
      </c>
    </row>
    <row r="6" spans="1:10" ht="15.75" thickBot="1" x14ac:dyDescent="0.3">
      <c r="A6" s="1" t="s">
        <v>23</v>
      </c>
      <c r="B6" s="2" t="s">
        <v>24</v>
      </c>
      <c r="C6" s="2">
        <v>5319</v>
      </c>
      <c r="D6" s="2" t="s">
        <v>19</v>
      </c>
      <c r="E6" s="3">
        <v>1.1000000000000001</v>
      </c>
      <c r="F6" s="2">
        <v>17500</v>
      </c>
      <c r="G6" s="6">
        <v>19250</v>
      </c>
      <c r="H6" s="2">
        <v>30</v>
      </c>
      <c r="I6" s="5" t="s">
        <v>25</v>
      </c>
      <c r="J6" s="5" t="s">
        <v>26</v>
      </c>
    </row>
    <row r="7" spans="1:10" ht="15.75" thickBot="1" x14ac:dyDescent="0.3">
      <c r="A7" s="1" t="s">
        <v>17</v>
      </c>
      <c r="B7" s="2" t="s">
        <v>27</v>
      </c>
      <c r="C7" s="2">
        <v>5462</v>
      </c>
      <c r="D7" s="2" t="s">
        <v>19</v>
      </c>
      <c r="E7" s="3">
        <v>1.05</v>
      </c>
      <c r="F7" s="2">
        <v>22500</v>
      </c>
      <c r="G7" s="6">
        <v>23625</v>
      </c>
      <c r="H7" s="2">
        <v>30</v>
      </c>
      <c r="I7" s="5" t="s">
        <v>25</v>
      </c>
      <c r="J7" s="5" t="s">
        <v>28</v>
      </c>
    </row>
    <row r="8" spans="1:10" ht="15.75" thickBot="1" x14ac:dyDescent="0.3">
      <c r="A8" s="1" t="s">
        <v>23</v>
      </c>
      <c r="B8" s="2" t="s">
        <v>29</v>
      </c>
      <c r="C8" s="2">
        <v>4312</v>
      </c>
      <c r="D8" s="2" t="s">
        <v>30</v>
      </c>
      <c r="E8" s="3">
        <v>3.75</v>
      </c>
      <c r="F8" s="2">
        <v>4250</v>
      </c>
      <c r="G8" s="6">
        <v>15937</v>
      </c>
      <c r="H8" s="2">
        <v>30</v>
      </c>
      <c r="I8" s="5" t="s">
        <v>25</v>
      </c>
      <c r="J8" s="5" t="s">
        <v>28</v>
      </c>
    </row>
    <row r="9" spans="1:10" ht="15.75" thickBot="1" x14ac:dyDescent="0.3">
      <c r="A9" s="1" t="s">
        <v>31</v>
      </c>
      <c r="B9" s="2" t="s">
        <v>32</v>
      </c>
      <c r="C9" s="2">
        <v>7258</v>
      </c>
      <c r="D9" s="2" t="s">
        <v>33</v>
      </c>
      <c r="E9" s="3">
        <v>90</v>
      </c>
      <c r="F9" s="2">
        <v>100</v>
      </c>
      <c r="G9" s="6">
        <v>9000</v>
      </c>
      <c r="H9" s="2">
        <v>45</v>
      </c>
      <c r="I9" s="5" t="s">
        <v>34</v>
      </c>
      <c r="J9" s="5" t="s">
        <v>35</v>
      </c>
    </row>
    <row r="10" spans="1:10" ht="15.75" thickBot="1" x14ac:dyDescent="0.3">
      <c r="A10" s="1" t="s">
        <v>17</v>
      </c>
      <c r="B10" s="2" t="s">
        <v>36</v>
      </c>
      <c r="C10" s="2">
        <v>6321</v>
      </c>
      <c r="D10" s="2" t="s">
        <v>37</v>
      </c>
      <c r="E10" s="3">
        <v>2.4500000000000002</v>
      </c>
      <c r="F10" s="2">
        <v>1300</v>
      </c>
      <c r="G10" s="6">
        <v>3185</v>
      </c>
      <c r="H10" s="2">
        <v>30</v>
      </c>
      <c r="I10" s="5" t="s">
        <v>34</v>
      </c>
      <c r="J10" s="4">
        <v>40642</v>
      </c>
    </row>
    <row r="11" spans="1:10" ht="15.75" thickBot="1" x14ac:dyDescent="0.3">
      <c r="A11" s="1" t="s">
        <v>17</v>
      </c>
      <c r="B11" s="2" t="s">
        <v>38</v>
      </c>
      <c r="C11" s="2">
        <v>5462</v>
      </c>
      <c r="D11" s="2" t="s">
        <v>19</v>
      </c>
      <c r="E11" s="3">
        <v>1.05</v>
      </c>
      <c r="F11" s="2">
        <v>22500</v>
      </c>
      <c r="G11" s="6">
        <v>23625</v>
      </c>
      <c r="H11" s="2">
        <v>30</v>
      </c>
      <c r="I11" s="5" t="s">
        <v>34</v>
      </c>
      <c r="J11" s="4">
        <v>40583</v>
      </c>
    </row>
    <row r="12" spans="1:10" ht="15.75" thickBot="1" x14ac:dyDescent="0.3">
      <c r="A12" s="1" t="s">
        <v>23</v>
      </c>
      <c r="B12" s="2" t="s">
        <v>39</v>
      </c>
      <c r="C12" s="2">
        <v>5319</v>
      </c>
      <c r="D12" s="2" t="s">
        <v>19</v>
      </c>
      <c r="E12" s="3">
        <v>1.1000000000000001</v>
      </c>
      <c r="F12" s="2">
        <v>18100</v>
      </c>
      <c r="G12" s="6">
        <v>19910</v>
      </c>
      <c r="H12" s="2">
        <v>30</v>
      </c>
      <c r="I12" s="5" t="s">
        <v>34</v>
      </c>
      <c r="J12" s="4">
        <v>40672</v>
      </c>
    </row>
    <row r="13" spans="1:10" ht="15.75" thickBot="1" x14ac:dyDescent="0.3">
      <c r="A13" s="1" t="s">
        <v>10</v>
      </c>
      <c r="B13" s="2" t="s">
        <v>40</v>
      </c>
      <c r="C13" s="2">
        <v>3166</v>
      </c>
      <c r="D13" s="2" t="s">
        <v>41</v>
      </c>
      <c r="E13" s="3">
        <v>1.25</v>
      </c>
      <c r="F13" s="2">
        <v>5600</v>
      </c>
      <c r="G13" s="6">
        <v>7000</v>
      </c>
      <c r="H13" s="2">
        <v>30</v>
      </c>
      <c r="I13" s="5" t="s">
        <v>42</v>
      </c>
      <c r="J13" s="5" t="s">
        <v>43</v>
      </c>
    </row>
    <row r="14" spans="1:10" ht="15.75" thickBot="1" x14ac:dyDescent="0.3">
      <c r="A14" s="1" t="s">
        <v>10</v>
      </c>
      <c r="B14" s="2" t="s">
        <v>44</v>
      </c>
      <c r="C14" s="2">
        <v>9966</v>
      </c>
      <c r="D14" s="2" t="s">
        <v>45</v>
      </c>
      <c r="E14" s="3">
        <v>0.75</v>
      </c>
      <c r="F14" s="2">
        <v>500</v>
      </c>
      <c r="G14" s="6">
        <v>375</v>
      </c>
      <c r="H14" s="2">
        <v>30</v>
      </c>
      <c r="I14" s="5" t="s">
        <v>46</v>
      </c>
      <c r="J14" s="5" t="s">
        <v>47</v>
      </c>
    </row>
    <row r="15" spans="1:10" ht="15.75" thickBot="1" x14ac:dyDescent="0.3">
      <c r="A15" s="1" t="s">
        <v>23</v>
      </c>
      <c r="B15" s="2" t="s">
        <v>48</v>
      </c>
      <c r="C15" s="2">
        <v>5234</v>
      </c>
      <c r="D15" s="2" t="s">
        <v>41</v>
      </c>
      <c r="E15" s="3">
        <v>1.65</v>
      </c>
      <c r="F15" s="2">
        <v>4500</v>
      </c>
      <c r="G15" s="6">
        <v>7425</v>
      </c>
      <c r="H15" s="2">
        <v>30</v>
      </c>
      <c r="I15" s="4">
        <v>40552</v>
      </c>
      <c r="J15" s="4">
        <v>40672</v>
      </c>
    </row>
    <row r="16" spans="1:10" ht="15.75" thickBot="1" x14ac:dyDescent="0.3">
      <c r="A16" s="1" t="s">
        <v>23</v>
      </c>
      <c r="B16" s="2" t="s">
        <v>49</v>
      </c>
      <c r="C16" s="2">
        <v>4312</v>
      </c>
      <c r="D16" s="2" t="s">
        <v>30</v>
      </c>
      <c r="E16" s="3">
        <v>3.75</v>
      </c>
      <c r="F16" s="2">
        <v>4200</v>
      </c>
      <c r="G16" s="6">
        <v>15750</v>
      </c>
      <c r="H16" s="2">
        <v>30</v>
      </c>
      <c r="I16" s="4">
        <v>40552</v>
      </c>
      <c r="J16" s="4">
        <v>40825</v>
      </c>
    </row>
    <row r="17" spans="1:10" ht="15.75" thickBot="1" x14ac:dyDescent="0.3">
      <c r="A17" s="1" t="s">
        <v>14</v>
      </c>
      <c r="B17" s="2" t="s">
        <v>50</v>
      </c>
      <c r="C17" s="2">
        <v>5417</v>
      </c>
      <c r="D17" s="2" t="s">
        <v>51</v>
      </c>
      <c r="E17" s="3">
        <v>225</v>
      </c>
      <c r="F17" s="2">
        <v>406</v>
      </c>
      <c r="G17" s="5" t="s">
        <v>52</v>
      </c>
      <c r="H17" s="2">
        <v>30</v>
      </c>
      <c r="I17" s="4">
        <v>40552</v>
      </c>
      <c r="J17" s="4">
        <v>40825</v>
      </c>
    </row>
    <row r="18" spans="1:10" ht="15.75" thickBot="1" x14ac:dyDescent="0.3">
      <c r="A18" s="1" t="s">
        <v>10</v>
      </c>
      <c r="B18" s="2" t="s">
        <v>53</v>
      </c>
      <c r="C18" s="2">
        <v>3166</v>
      </c>
      <c r="D18" s="2" t="s">
        <v>41</v>
      </c>
      <c r="E18" s="3">
        <v>1.25</v>
      </c>
      <c r="F18" s="2">
        <v>5500</v>
      </c>
      <c r="G18" s="6">
        <v>6875</v>
      </c>
      <c r="H18" s="2">
        <v>30</v>
      </c>
      <c r="I18" s="4">
        <v>40552</v>
      </c>
      <c r="J18" s="4">
        <v>40703</v>
      </c>
    </row>
    <row r="19" spans="1:10" ht="15.75" thickBot="1" x14ac:dyDescent="0.3">
      <c r="A19" s="1" t="s">
        <v>23</v>
      </c>
      <c r="B19" s="2" t="s">
        <v>54</v>
      </c>
      <c r="C19" s="2">
        <v>5234</v>
      </c>
      <c r="D19" s="2" t="s">
        <v>41</v>
      </c>
      <c r="E19" s="3">
        <v>1.65</v>
      </c>
      <c r="F19" s="2">
        <v>4850</v>
      </c>
      <c r="G19" s="7">
        <v>8002.5</v>
      </c>
      <c r="H19" s="2">
        <v>30</v>
      </c>
      <c r="I19" s="4">
        <v>40583</v>
      </c>
      <c r="J19" s="4">
        <v>40856</v>
      </c>
    </row>
    <row r="20" spans="1:10" ht="15.75" thickBot="1" x14ac:dyDescent="0.3">
      <c r="A20" s="1" t="s">
        <v>23</v>
      </c>
      <c r="B20" s="2" t="s">
        <v>55</v>
      </c>
      <c r="C20" s="2">
        <v>4312</v>
      </c>
      <c r="D20" s="2" t="s">
        <v>30</v>
      </c>
      <c r="E20" s="3">
        <v>3.75</v>
      </c>
      <c r="F20" s="2">
        <v>4150</v>
      </c>
      <c r="G20" s="7">
        <v>15562.5</v>
      </c>
      <c r="H20" s="2">
        <v>30</v>
      </c>
      <c r="I20" s="4">
        <v>40611</v>
      </c>
      <c r="J20" s="4">
        <v>40856</v>
      </c>
    </row>
    <row r="21" spans="1:10" ht="15.75" thickBot="1" x14ac:dyDescent="0.3">
      <c r="A21" s="1" t="s">
        <v>10</v>
      </c>
      <c r="B21" s="2" t="s">
        <v>56</v>
      </c>
      <c r="C21" s="2">
        <v>1122</v>
      </c>
      <c r="D21" s="2" t="s">
        <v>12</v>
      </c>
      <c r="E21" s="3">
        <v>4.25</v>
      </c>
      <c r="F21" s="2">
        <v>15500</v>
      </c>
      <c r="G21" s="7">
        <v>65875</v>
      </c>
      <c r="H21" s="2">
        <v>30</v>
      </c>
      <c r="I21" s="4">
        <v>40642</v>
      </c>
      <c r="J21" s="4">
        <v>40886</v>
      </c>
    </row>
    <row r="22" spans="1:10" ht="15.75" thickBot="1" x14ac:dyDescent="0.3">
      <c r="A22" s="1" t="s">
        <v>57</v>
      </c>
      <c r="B22" s="2" t="s">
        <v>58</v>
      </c>
      <c r="C22" s="2">
        <v>4111</v>
      </c>
      <c r="D22" s="2" t="s">
        <v>30</v>
      </c>
      <c r="E22" s="3">
        <v>3.55</v>
      </c>
      <c r="F22" s="2">
        <v>4800</v>
      </c>
      <c r="G22" s="7">
        <v>17040</v>
      </c>
      <c r="H22" s="2">
        <v>25</v>
      </c>
      <c r="I22" s="4">
        <v>40672</v>
      </c>
      <c r="J22" s="5" t="s">
        <v>59</v>
      </c>
    </row>
    <row r="23" spans="1:10" ht="15.75" thickBot="1" x14ac:dyDescent="0.3">
      <c r="A23" s="1" t="s">
        <v>14</v>
      </c>
      <c r="B23" s="2" t="s">
        <v>60</v>
      </c>
      <c r="C23" s="2">
        <v>1243</v>
      </c>
      <c r="D23" s="2" t="s">
        <v>12</v>
      </c>
      <c r="E23" s="3">
        <v>4.25</v>
      </c>
      <c r="F23" s="2">
        <v>9000</v>
      </c>
      <c r="G23" s="7">
        <v>38250</v>
      </c>
      <c r="H23" s="2">
        <v>30</v>
      </c>
      <c r="I23" s="4">
        <v>40672</v>
      </c>
      <c r="J23" s="4">
        <v>40886</v>
      </c>
    </row>
    <row r="24" spans="1:10" ht="15.75" thickBot="1" x14ac:dyDescent="0.3">
      <c r="A24" s="1" t="s">
        <v>31</v>
      </c>
      <c r="B24" s="2" t="s">
        <v>61</v>
      </c>
      <c r="C24" s="2">
        <v>7260</v>
      </c>
      <c r="D24" s="2" t="s">
        <v>33</v>
      </c>
      <c r="E24" s="3">
        <v>90</v>
      </c>
      <c r="F24" s="2">
        <v>120</v>
      </c>
      <c r="G24" s="7">
        <v>10800</v>
      </c>
      <c r="H24" s="2">
        <v>45</v>
      </c>
      <c r="I24" s="4">
        <v>40672</v>
      </c>
      <c r="J24" s="4">
        <v>40795</v>
      </c>
    </row>
    <row r="25" spans="1:10" ht="15.75" thickBot="1" x14ac:dyDescent="0.3">
      <c r="A25" s="1" t="s">
        <v>23</v>
      </c>
      <c r="B25" s="2" t="s">
        <v>62</v>
      </c>
      <c r="C25" s="2">
        <v>5234</v>
      </c>
      <c r="D25" s="2" t="s">
        <v>41</v>
      </c>
      <c r="E25" s="3">
        <v>1.65</v>
      </c>
      <c r="F25" s="2">
        <v>4750</v>
      </c>
      <c r="G25" s="7">
        <v>7837.5</v>
      </c>
      <c r="H25" s="2">
        <v>30</v>
      </c>
      <c r="I25" s="4">
        <v>40672</v>
      </c>
      <c r="J25" s="5" t="s">
        <v>63</v>
      </c>
    </row>
    <row r="26" spans="1:10" ht="15.75" thickBot="1" x14ac:dyDescent="0.3">
      <c r="A26" s="1" t="s">
        <v>10</v>
      </c>
      <c r="B26" s="2" t="s">
        <v>64</v>
      </c>
      <c r="C26" s="2">
        <v>1122</v>
      </c>
      <c r="D26" s="2" t="s">
        <v>12</v>
      </c>
      <c r="E26" s="3">
        <v>4.25</v>
      </c>
      <c r="F26" s="2">
        <v>12500</v>
      </c>
      <c r="G26" s="7">
        <v>63125</v>
      </c>
      <c r="H26" s="2">
        <v>30</v>
      </c>
      <c r="I26" s="4">
        <v>40672</v>
      </c>
      <c r="J26" s="4">
        <v>40856</v>
      </c>
    </row>
    <row r="27" spans="1:10" ht="15.75" thickBot="1" x14ac:dyDescent="0.3">
      <c r="A27" s="1" t="s">
        <v>10</v>
      </c>
      <c r="B27" s="2" t="s">
        <v>65</v>
      </c>
      <c r="C27" s="2">
        <v>5066</v>
      </c>
      <c r="D27" s="2" t="s">
        <v>19</v>
      </c>
      <c r="E27" s="3">
        <v>3.65</v>
      </c>
      <c r="F27" s="2">
        <v>25000</v>
      </c>
      <c r="G27" s="7">
        <v>23750</v>
      </c>
      <c r="H27" s="2">
        <v>30</v>
      </c>
      <c r="I27" s="4">
        <v>40672</v>
      </c>
      <c r="J27" s="4">
        <v>40886</v>
      </c>
    </row>
    <row r="28" spans="1:10" ht="15.75" thickBot="1" x14ac:dyDescent="0.3">
      <c r="A28" s="1" t="s">
        <v>10</v>
      </c>
      <c r="B28" s="2" t="s">
        <v>66</v>
      </c>
      <c r="C28" s="2">
        <v>3166</v>
      </c>
      <c r="D28" s="2" t="s">
        <v>41</v>
      </c>
      <c r="E28" s="3">
        <v>1.25</v>
      </c>
      <c r="F28" s="2">
        <v>5650</v>
      </c>
      <c r="G28" s="7">
        <v>7062.5</v>
      </c>
      <c r="H28" s="2">
        <v>30</v>
      </c>
      <c r="I28" s="4">
        <v>40672</v>
      </c>
      <c r="J28" s="4">
        <v>40825</v>
      </c>
    </row>
    <row r="29" spans="1:10" ht="15.75" thickBot="1" x14ac:dyDescent="0.3">
      <c r="A29" s="1" t="s">
        <v>10</v>
      </c>
      <c r="B29" s="2" t="s">
        <v>67</v>
      </c>
      <c r="C29" s="2">
        <v>1122</v>
      </c>
      <c r="D29" s="2" t="s">
        <v>12</v>
      </c>
      <c r="E29" s="3">
        <v>4.25</v>
      </c>
      <c r="F29" s="2">
        <v>15000</v>
      </c>
      <c r="G29" s="7">
        <v>63750</v>
      </c>
      <c r="H29" s="2">
        <v>30</v>
      </c>
      <c r="I29" s="4">
        <v>40764</v>
      </c>
      <c r="J29" s="5" t="s">
        <v>68</v>
      </c>
    </row>
    <row r="30" spans="1:10" ht="15.75" thickBot="1" x14ac:dyDescent="0.3">
      <c r="A30" s="1" t="s">
        <v>57</v>
      </c>
      <c r="B30" s="2" t="s">
        <v>69</v>
      </c>
      <c r="C30" s="2">
        <v>4111</v>
      </c>
      <c r="D30" s="2" t="s">
        <v>30</v>
      </c>
      <c r="E30" s="3">
        <v>2.4500000000000002</v>
      </c>
      <c r="F30" s="2">
        <v>4585</v>
      </c>
      <c r="G30" s="7">
        <v>16276.75</v>
      </c>
      <c r="H30" s="2">
        <v>25</v>
      </c>
      <c r="I30" s="4">
        <v>40825</v>
      </c>
      <c r="J30" s="5" t="s">
        <v>47</v>
      </c>
    </row>
    <row r="31" spans="1:10" ht="15.75" thickBot="1" x14ac:dyDescent="0.3">
      <c r="A31" s="1" t="s">
        <v>10</v>
      </c>
      <c r="B31" s="2" t="s">
        <v>70</v>
      </c>
      <c r="C31" s="2">
        <v>3166</v>
      </c>
      <c r="D31" s="2" t="s">
        <v>41</v>
      </c>
      <c r="E31" s="3">
        <v>1.1000000000000001</v>
      </c>
      <c r="F31" s="2">
        <v>5425</v>
      </c>
      <c r="G31" s="7">
        <v>6781.25</v>
      </c>
      <c r="H31" s="2">
        <v>30</v>
      </c>
      <c r="I31" s="4">
        <v>40825</v>
      </c>
      <c r="J31" s="5" t="s">
        <v>68</v>
      </c>
    </row>
    <row r="32" spans="1:10" ht="15.75" thickBot="1" x14ac:dyDescent="0.3">
      <c r="A32" s="1" t="s">
        <v>17</v>
      </c>
      <c r="B32" s="2" t="s">
        <v>71</v>
      </c>
      <c r="C32" s="2">
        <v>6321</v>
      </c>
      <c r="D32" s="2" t="s">
        <v>37</v>
      </c>
      <c r="E32" s="3">
        <v>2.4500000000000002</v>
      </c>
      <c r="F32" s="2">
        <v>1200</v>
      </c>
      <c r="G32" s="7">
        <v>2940</v>
      </c>
      <c r="H32" s="2">
        <v>30</v>
      </c>
      <c r="I32" s="4">
        <v>40886</v>
      </c>
      <c r="J32" s="5" t="s">
        <v>72</v>
      </c>
    </row>
    <row r="33" spans="1:10" ht="15.75" thickBot="1" x14ac:dyDescent="0.3">
      <c r="A33" s="1" t="s">
        <v>23</v>
      </c>
      <c r="B33" s="2" t="s">
        <v>73</v>
      </c>
      <c r="C33" s="2">
        <v>5319</v>
      </c>
      <c r="D33" s="2" t="s">
        <v>19</v>
      </c>
      <c r="E33" s="3">
        <v>1.1000000000000001</v>
      </c>
      <c r="F33" s="2">
        <v>16500</v>
      </c>
      <c r="G33" s="7">
        <v>18150</v>
      </c>
      <c r="H33" s="2">
        <v>30</v>
      </c>
      <c r="I33" s="5" t="s">
        <v>68</v>
      </c>
      <c r="J33" s="4">
        <v>40673</v>
      </c>
    </row>
    <row r="34" spans="1:10" ht="15.75" thickBot="1" x14ac:dyDescent="0.3">
      <c r="A34" s="1" t="s">
        <v>57</v>
      </c>
      <c r="B34" s="2" t="s">
        <v>74</v>
      </c>
      <c r="C34" s="2">
        <v>4111</v>
      </c>
      <c r="D34" s="2" t="s">
        <v>30</v>
      </c>
      <c r="E34" s="3">
        <v>3.75</v>
      </c>
      <c r="F34" s="2">
        <v>4200</v>
      </c>
      <c r="G34" s="7">
        <v>14910</v>
      </c>
      <c r="H34" s="2">
        <v>25</v>
      </c>
      <c r="I34" s="5" t="s">
        <v>68</v>
      </c>
      <c r="J34" s="5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2" sqref="E22"/>
    </sheetView>
  </sheetViews>
  <sheetFormatPr defaultRowHeight="15" x14ac:dyDescent="0.25"/>
  <cols>
    <col min="1" max="1" width="21.140625" customWidth="1"/>
    <col min="2" max="2" width="18.7109375" customWidth="1"/>
    <col min="3" max="3" width="21.7109375" customWidth="1"/>
    <col min="4" max="4" width="11.5703125" customWidth="1"/>
    <col min="5" max="5" width="74.140625" customWidth="1"/>
    <col min="6" max="6" width="12.7109375" customWidth="1"/>
  </cols>
  <sheetData>
    <row r="1" spans="1:6" ht="15.75" x14ac:dyDescent="0.3">
      <c r="A1" t="s">
        <v>118</v>
      </c>
      <c r="B1" t="s">
        <v>121</v>
      </c>
      <c r="C1" t="s">
        <v>122</v>
      </c>
      <c r="D1" s="23" t="s">
        <v>123</v>
      </c>
      <c r="F1" t="s">
        <v>124</v>
      </c>
    </row>
    <row r="2" spans="1:6" x14ac:dyDescent="0.25">
      <c r="A2" t="s">
        <v>119</v>
      </c>
      <c r="B2">
        <v>25</v>
      </c>
      <c r="C2">
        <v>280</v>
      </c>
      <c r="D2">
        <f>B2+C2</f>
        <v>305</v>
      </c>
      <c r="E2" t="s">
        <v>125</v>
      </c>
      <c r="F2" s="10">
        <f>D2/D$4</f>
        <v>0.40397350993377484</v>
      </c>
    </row>
    <row r="3" spans="1:6" x14ac:dyDescent="0.25">
      <c r="A3" t="s">
        <v>120</v>
      </c>
      <c r="B3">
        <v>45</v>
      </c>
      <c r="C3">
        <v>405</v>
      </c>
      <c r="D3">
        <f>B3+C3</f>
        <v>450</v>
      </c>
      <c r="E3" t="s">
        <v>126</v>
      </c>
      <c r="F3" s="10">
        <f>(C2+C3)/D$4</f>
        <v>0.9072847682119205</v>
      </c>
    </row>
    <row r="4" spans="1:6" x14ac:dyDescent="0.25">
      <c r="D4">
        <f>SUM(D2:D3)</f>
        <v>755</v>
      </c>
      <c r="E4" t="s">
        <v>127</v>
      </c>
      <c r="F4" s="10">
        <f>C2/D$4</f>
        <v>0.37086092715231789</v>
      </c>
    </row>
    <row r="5" spans="1:6" x14ac:dyDescent="0.25">
      <c r="E5" t="s">
        <v>128</v>
      </c>
      <c r="F5" s="10">
        <f>F2 + F3 - (C2/D$4)</f>
        <v>0.94039735099337751</v>
      </c>
    </row>
    <row r="6" spans="1:6" x14ac:dyDescent="0.25">
      <c r="E6" t="s">
        <v>129</v>
      </c>
      <c r="F6" s="10">
        <f>B2/D$4</f>
        <v>3.3112582781456956E-2</v>
      </c>
    </row>
    <row r="7" spans="1:6" x14ac:dyDescent="0.25">
      <c r="E7" t="s">
        <v>130</v>
      </c>
      <c r="F7" s="10">
        <f>C3/D$4</f>
        <v>0.53642384105960261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2" sqref="F12"/>
    </sheetView>
  </sheetViews>
  <sheetFormatPr defaultRowHeight="15" x14ac:dyDescent="0.25"/>
  <cols>
    <col min="2" max="3" width="18.28515625" customWidth="1"/>
    <col min="4" max="4" width="21.28515625" customWidth="1"/>
    <col min="5" max="5" width="20.42578125" customWidth="1"/>
    <col min="6" max="6" width="12.140625" customWidth="1"/>
  </cols>
  <sheetData>
    <row r="1" spans="1:5" x14ac:dyDescent="0.25">
      <c r="A1" s="20" t="s">
        <v>113</v>
      </c>
      <c r="B1" s="20" t="s">
        <v>114</v>
      </c>
      <c r="C1" s="20" t="s">
        <v>115</v>
      </c>
      <c r="D1" s="20" t="s">
        <v>116</v>
      </c>
      <c r="E1" s="20" t="s">
        <v>117</v>
      </c>
    </row>
    <row r="2" spans="1:5" x14ac:dyDescent="0.25">
      <c r="A2" t="s">
        <v>91</v>
      </c>
      <c r="B2">
        <v>0.5</v>
      </c>
      <c r="C2">
        <v>5.0000000000000001E-3</v>
      </c>
      <c r="D2" s="10">
        <f>SUMPRODUCT(B2:B4, C2:C4)</f>
        <v>7.000000000000001E-3</v>
      </c>
      <c r="E2" s="10">
        <f>(C2 * B2) / D2</f>
        <v>0.3571428571428571</v>
      </c>
    </row>
    <row r="3" spans="1:5" x14ac:dyDescent="0.25">
      <c r="A3" t="s">
        <v>98</v>
      </c>
      <c r="B3">
        <v>0.25</v>
      </c>
      <c r="C3">
        <v>8.0000000000000002E-3</v>
      </c>
      <c r="E3" s="10">
        <f>(C3 * B3) / D2</f>
        <v>0.2857142857142857</v>
      </c>
    </row>
    <row r="4" spans="1:5" x14ac:dyDescent="0.25">
      <c r="A4" t="s">
        <v>95</v>
      </c>
      <c r="B4">
        <v>0.25</v>
      </c>
      <c r="C4">
        <v>0.01</v>
      </c>
      <c r="E4" s="10">
        <f>(C4 * B4) / D2</f>
        <v>0.3571428571428571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>
        <v>0.12</v>
      </c>
      <c r="C1">
        <f>B1</f>
        <v>0.12</v>
      </c>
    </row>
    <row r="2" spans="1:3" x14ac:dyDescent="0.25">
      <c r="A2">
        <v>2</v>
      </c>
      <c r="B2">
        <v>0.25</v>
      </c>
      <c r="C2">
        <f>C1+B2</f>
        <v>0.37</v>
      </c>
    </row>
    <row r="3" spans="1:3" x14ac:dyDescent="0.25">
      <c r="A3">
        <v>3</v>
      </c>
      <c r="B3">
        <v>0.08</v>
      </c>
      <c r="C3" s="18">
        <f t="shared" ref="C3:C10" si="0">C2+B3</f>
        <v>0.45</v>
      </c>
    </row>
    <row r="4" spans="1:3" x14ac:dyDescent="0.25">
      <c r="A4">
        <v>4</v>
      </c>
      <c r="B4">
        <v>0.14000000000000001</v>
      </c>
      <c r="C4" s="18">
        <f t="shared" si="0"/>
        <v>0.59000000000000008</v>
      </c>
    </row>
    <row r="5" spans="1:3" x14ac:dyDescent="0.25">
      <c r="A5">
        <v>5</v>
      </c>
      <c r="B5">
        <v>0.09</v>
      </c>
      <c r="C5" s="18">
        <f t="shared" si="0"/>
        <v>0.68</v>
      </c>
    </row>
    <row r="6" spans="1:3" x14ac:dyDescent="0.25">
      <c r="A6">
        <v>6</v>
      </c>
      <c r="B6">
        <v>0.17</v>
      </c>
      <c r="C6" s="18">
        <f t="shared" si="0"/>
        <v>0.85000000000000009</v>
      </c>
    </row>
    <row r="7" spans="1:3" x14ac:dyDescent="0.25">
      <c r="A7">
        <v>7</v>
      </c>
      <c r="B7">
        <v>0.06</v>
      </c>
      <c r="C7" s="18">
        <f t="shared" si="0"/>
        <v>0.91000000000000014</v>
      </c>
    </row>
    <row r="8" spans="1:3" x14ac:dyDescent="0.25">
      <c r="A8">
        <v>8</v>
      </c>
      <c r="B8">
        <v>0.27</v>
      </c>
      <c r="C8" s="18">
        <f t="shared" si="0"/>
        <v>1.1800000000000002</v>
      </c>
    </row>
    <row r="9" spans="1:3" x14ac:dyDescent="0.25">
      <c r="A9">
        <v>9</v>
      </c>
      <c r="B9">
        <v>0.4</v>
      </c>
      <c r="C9" s="18">
        <f t="shared" si="0"/>
        <v>1.58</v>
      </c>
    </row>
    <row r="10" spans="1:3" x14ac:dyDescent="0.25">
      <c r="A10">
        <v>10</v>
      </c>
      <c r="B10">
        <v>0.28000000000000003</v>
      </c>
      <c r="C10" s="18">
        <f t="shared" si="0"/>
        <v>1.86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5" sqref="D15"/>
    </sheetView>
  </sheetViews>
  <sheetFormatPr defaultRowHeight="15" x14ac:dyDescent="0.25"/>
  <cols>
    <col min="2" max="2" width="14.42578125" customWidth="1"/>
  </cols>
  <sheetData>
    <row r="1" spans="1:2" x14ac:dyDescent="0.25">
      <c r="A1" s="25" t="s">
        <v>131</v>
      </c>
      <c r="B1" s="25" t="s">
        <v>132</v>
      </c>
    </row>
    <row r="2" spans="1:2" x14ac:dyDescent="0.25">
      <c r="A2" s="25">
        <v>2</v>
      </c>
      <c r="B2" s="25">
        <f>1/36</f>
        <v>2.7777777777777776E-2</v>
      </c>
    </row>
    <row r="3" spans="1:2" x14ac:dyDescent="0.25">
      <c r="A3" s="25">
        <v>3</v>
      </c>
      <c r="B3" s="25">
        <f>2/36</f>
        <v>5.5555555555555552E-2</v>
      </c>
    </row>
    <row r="4" spans="1:2" x14ac:dyDescent="0.25">
      <c r="A4" s="25">
        <v>4</v>
      </c>
      <c r="B4" s="25">
        <f>3/36</f>
        <v>8.3333333333333329E-2</v>
      </c>
    </row>
    <row r="5" spans="1:2" x14ac:dyDescent="0.25">
      <c r="A5" s="25">
        <v>5</v>
      </c>
      <c r="B5" s="25">
        <f>4/36</f>
        <v>0.1111111111111111</v>
      </c>
    </row>
    <row r="6" spans="1:2" x14ac:dyDescent="0.25">
      <c r="A6" s="25">
        <v>6</v>
      </c>
      <c r="B6" s="25">
        <f>5/36</f>
        <v>0.1388888888888889</v>
      </c>
    </row>
    <row r="7" spans="1:2" x14ac:dyDescent="0.25">
      <c r="A7" s="25">
        <v>7</v>
      </c>
      <c r="B7" s="25">
        <f>6/36</f>
        <v>0.16666666666666666</v>
      </c>
    </row>
    <row r="8" spans="1:2" x14ac:dyDescent="0.25">
      <c r="A8" s="25">
        <v>8</v>
      </c>
      <c r="B8" s="25">
        <f>5/36</f>
        <v>0.1388888888888889</v>
      </c>
    </row>
    <row r="9" spans="1:2" x14ac:dyDescent="0.25">
      <c r="A9" s="25">
        <v>9</v>
      </c>
      <c r="B9" s="25">
        <f>4/36</f>
        <v>0.1111111111111111</v>
      </c>
    </row>
    <row r="10" spans="1:2" x14ac:dyDescent="0.25">
      <c r="A10" s="25">
        <v>10</v>
      </c>
      <c r="B10" s="25">
        <f>3/36</f>
        <v>8.3333333333333329E-2</v>
      </c>
    </row>
    <row r="11" spans="1:2" x14ac:dyDescent="0.25">
      <c r="A11" s="25">
        <v>11</v>
      </c>
      <c r="B11" s="25">
        <f>2/36</f>
        <v>5.5555555555555552E-2</v>
      </c>
    </row>
    <row r="12" spans="1:2" x14ac:dyDescent="0.25">
      <c r="A12" s="25">
        <v>12</v>
      </c>
      <c r="B12" s="25">
        <f>1/36</f>
        <v>2.7777777777777776E-2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3" max="3" width="128.140625" customWidth="1"/>
  </cols>
  <sheetData>
    <row r="1" spans="1:3" x14ac:dyDescent="0.25">
      <c r="A1">
        <f>_xlfn.BINOM.DIST(5,10,0.5,FALSE)</f>
        <v>0.24609375000000008</v>
      </c>
      <c r="C1" t="s">
        <v>133</v>
      </c>
    </row>
    <row r="2" spans="1:3" x14ac:dyDescent="0.25">
      <c r="C2" t="s">
        <v>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56.7109375" customWidth="1"/>
    <col min="3" max="3" width="43" customWidth="1"/>
    <col min="4" max="4" width="26" customWidth="1"/>
  </cols>
  <sheetData>
    <row r="1" spans="1:4" x14ac:dyDescent="0.25">
      <c r="A1" s="26" t="s">
        <v>135</v>
      </c>
      <c r="B1" s="26" t="s">
        <v>136</v>
      </c>
      <c r="C1" s="26" t="s">
        <v>137</v>
      </c>
      <c r="D1" s="26" t="s">
        <v>124</v>
      </c>
    </row>
    <row r="2" spans="1:4" x14ac:dyDescent="0.25">
      <c r="A2">
        <v>10</v>
      </c>
      <c r="B2">
        <v>0.5</v>
      </c>
      <c r="C2">
        <f>1-B2</f>
        <v>0.5</v>
      </c>
      <c r="D2">
        <f>_xlfn.BINOM.DIST(6, 10, 0.5, FALSE)</f>
        <v>0.20507812500000006</v>
      </c>
    </row>
    <row r="7" spans="1:4" x14ac:dyDescent="0.25">
      <c r="A7" s="10" t="s">
        <v>138</v>
      </c>
      <c r="B7" s="10">
        <f>_xlfn.BINOM.DIST(6, 10, 0.5, FALSE)</f>
        <v>0.20507812500000006</v>
      </c>
    </row>
    <row r="8" spans="1:4" x14ac:dyDescent="0.25">
      <c r="A8" s="10" t="s">
        <v>139</v>
      </c>
      <c r="B8" s="10">
        <f>_xlfn.BINOM.DIST(0, 10, 0.5, FALSE)</f>
        <v>9.765625E-4</v>
      </c>
    </row>
    <row r="9" spans="1:4" x14ac:dyDescent="0.25">
      <c r="A9" s="10" t="s">
        <v>140</v>
      </c>
      <c r="B9" s="10">
        <f>1-B8</f>
        <v>0.9990234375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4" sqref="B14"/>
    </sheetView>
  </sheetViews>
  <sheetFormatPr defaultRowHeight="15" x14ac:dyDescent="0.25"/>
  <cols>
    <col min="3" max="3" width="20.5703125" customWidth="1"/>
  </cols>
  <sheetData>
    <row r="1" spans="1:3" x14ac:dyDescent="0.25">
      <c r="A1" s="27" t="s">
        <v>142</v>
      </c>
      <c r="B1" s="27" t="s">
        <v>143</v>
      </c>
      <c r="C1" t="s">
        <v>148</v>
      </c>
    </row>
    <row r="2" spans="1:3" x14ac:dyDescent="0.25">
      <c r="A2" s="28">
        <v>0</v>
      </c>
      <c r="B2" s="28">
        <v>7</v>
      </c>
      <c r="C2">
        <f>_xlfn.BINOM.DIST(A2, $B$10, $B$13, FALSE)</f>
        <v>3.2441497607259256E-2</v>
      </c>
    </row>
    <row r="3" spans="1:3" x14ac:dyDescent="0.25">
      <c r="A3" s="28">
        <v>1</v>
      </c>
      <c r="B3" s="28">
        <v>6</v>
      </c>
      <c r="C3" s="18">
        <f t="shared" ref="C3:C9" si="0">_xlfn.BINOM.DIST(A3, $B$10, $B$13, FALSE)</f>
        <v>0.11272256055324033</v>
      </c>
    </row>
    <row r="4" spans="1:3" x14ac:dyDescent="0.25">
      <c r="A4" s="28">
        <v>2</v>
      </c>
      <c r="B4" s="28">
        <v>19</v>
      </c>
      <c r="C4" s="18">
        <f t="shared" si="0"/>
        <v>0.19430525758207134</v>
      </c>
    </row>
    <row r="5" spans="1:3" x14ac:dyDescent="0.25">
      <c r="A5" s="28">
        <v>3</v>
      </c>
      <c r="B5" s="28">
        <v>35</v>
      </c>
      <c r="C5" s="18">
        <f t="shared" si="0"/>
        <v>0.22153065101796429</v>
      </c>
    </row>
    <row r="6" spans="1:3" x14ac:dyDescent="0.25">
      <c r="A6" s="28">
        <v>4</v>
      </c>
      <c r="B6" s="28">
        <v>30</v>
      </c>
      <c r="C6" s="18">
        <f t="shared" si="0"/>
        <v>0.18792468319145067</v>
      </c>
    </row>
    <row r="7" spans="1:3" x14ac:dyDescent="0.25">
      <c r="A7" s="28">
        <v>5</v>
      </c>
      <c r="B7" s="28">
        <v>23</v>
      </c>
      <c r="C7" s="18">
        <f t="shared" si="0"/>
        <v>0.12651309748498996</v>
      </c>
    </row>
    <row r="8" spans="1:3" x14ac:dyDescent="0.25">
      <c r="A8" s="28">
        <v>6</v>
      </c>
      <c r="B8" s="28">
        <v>7</v>
      </c>
      <c r="C8" s="18">
        <f t="shared" si="0"/>
        <v>7.0402702640932374E-2</v>
      </c>
    </row>
    <row r="9" spans="1:3" x14ac:dyDescent="0.25">
      <c r="A9" s="28">
        <v>7</v>
      </c>
      <c r="B9" s="28">
        <v>1</v>
      </c>
      <c r="C9" s="18">
        <f t="shared" si="0"/>
        <v>3.3308195363567848E-2</v>
      </c>
    </row>
    <row r="10" spans="1:3" x14ac:dyDescent="0.25">
      <c r="A10" s="17" t="s">
        <v>144</v>
      </c>
      <c r="B10" s="29">
        <f>SUM(B2:B9)</f>
        <v>128</v>
      </c>
      <c r="C10" s="28"/>
    </row>
    <row r="11" spans="1:3" x14ac:dyDescent="0.25">
      <c r="A11" s="17" t="s">
        <v>145</v>
      </c>
      <c r="B11" s="29">
        <f>SUMPRODUCT(A2:A9, B2:B9) / B10</f>
        <v>3.3828125</v>
      </c>
      <c r="C11" s="28"/>
    </row>
    <row r="12" spans="1:3" ht="30" x14ac:dyDescent="0.25">
      <c r="A12" s="17" t="s">
        <v>146</v>
      </c>
      <c r="B12" s="29">
        <f>SUMPRODUCT((A2:A9 - B11)^2, B2:B9) / B10</f>
        <v>2.25189208984375</v>
      </c>
      <c r="C12" s="28"/>
    </row>
    <row r="13" spans="1:3" ht="60" x14ac:dyDescent="0.25">
      <c r="A13" s="17" t="s">
        <v>147</v>
      </c>
      <c r="B13" s="29">
        <f>B11/B10</f>
        <v>2.642822265625E-2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8" sqref="H18"/>
    </sheetView>
  </sheetViews>
  <sheetFormatPr defaultRowHeight="15" x14ac:dyDescent="0.25"/>
  <cols>
    <col min="8" max="8" width="69.85546875" customWidth="1"/>
  </cols>
  <sheetData>
    <row r="1" spans="1:8" ht="45" x14ac:dyDescent="0.25">
      <c r="A1" s="27" t="s">
        <v>141</v>
      </c>
      <c r="B1" s="27" t="s">
        <v>149</v>
      </c>
      <c r="C1" s="17" t="s">
        <v>150</v>
      </c>
      <c r="D1" s="17" t="s">
        <v>151</v>
      </c>
      <c r="E1" s="17" t="s">
        <v>152</v>
      </c>
    </row>
    <row r="2" spans="1:8" x14ac:dyDescent="0.25">
      <c r="A2" s="28">
        <v>0</v>
      </c>
      <c r="B2" s="28">
        <v>211</v>
      </c>
      <c r="C2" s="17">
        <f>A2*B2</f>
        <v>0</v>
      </c>
      <c r="D2">
        <f>_xlfn.POISSON.DIST(A2, $B$8, FALSE)</f>
        <v>0.64403642108314141</v>
      </c>
      <c r="E2">
        <f>D2*$B$7</f>
        <v>209.31183685202095</v>
      </c>
    </row>
    <row r="3" spans="1:8" x14ac:dyDescent="0.25">
      <c r="A3" s="28">
        <v>1</v>
      </c>
      <c r="B3" s="28">
        <v>90</v>
      </c>
      <c r="C3" s="17">
        <f t="shared" ref="C3:C6" si="0">A3*B3</f>
        <v>90</v>
      </c>
      <c r="D3" s="18">
        <f t="shared" ref="D3:D6" si="1">_xlfn.POISSON.DIST(A3, $B$8, FALSE)</f>
        <v>0.28337602527658218</v>
      </c>
      <c r="E3" s="18">
        <f t="shared" ref="E3:E6" si="2">D3*$B$7</f>
        <v>92.097208214889207</v>
      </c>
      <c r="H3" s="26" t="s">
        <v>154</v>
      </c>
    </row>
    <row r="4" spans="1:8" x14ac:dyDescent="0.25">
      <c r="A4" s="28">
        <v>2</v>
      </c>
      <c r="B4" s="28">
        <v>19</v>
      </c>
      <c r="C4" s="17">
        <f t="shared" si="0"/>
        <v>38</v>
      </c>
      <c r="D4" s="18">
        <f t="shared" si="1"/>
        <v>6.2342725560848078E-2</v>
      </c>
      <c r="E4" s="18">
        <f t="shared" si="2"/>
        <v>20.261385807275627</v>
      </c>
      <c r="H4" s="26" t="s">
        <v>155</v>
      </c>
    </row>
    <row r="5" spans="1:8" x14ac:dyDescent="0.25">
      <c r="A5" s="28">
        <v>3</v>
      </c>
      <c r="B5" s="28">
        <v>5</v>
      </c>
      <c r="C5" s="17">
        <f t="shared" si="0"/>
        <v>15</v>
      </c>
      <c r="D5" s="18">
        <f t="shared" si="1"/>
        <v>9.1435997489243883E-3</v>
      </c>
      <c r="E5" s="18">
        <f t="shared" si="2"/>
        <v>2.9716699184004263</v>
      </c>
      <c r="H5" s="30"/>
    </row>
    <row r="6" spans="1:8" x14ac:dyDescent="0.25">
      <c r="A6" s="28">
        <v>4</v>
      </c>
      <c r="B6" s="28">
        <v>0</v>
      </c>
      <c r="C6" s="17">
        <f t="shared" si="0"/>
        <v>0</v>
      </c>
      <c r="D6" s="18">
        <f t="shared" si="1"/>
        <v>1.0057959723816822E-3</v>
      </c>
      <c r="E6" s="18">
        <f t="shared" si="2"/>
        <v>0.32688369102404674</v>
      </c>
    </row>
    <row r="7" spans="1:8" x14ac:dyDescent="0.25">
      <c r="A7" t="s">
        <v>88</v>
      </c>
      <c r="B7" s="10">
        <f>SUM(B2:B6)</f>
        <v>325</v>
      </c>
      <c r="C7" s="31">
        <f>SUM(C2:C6)</f>
        <v>143</v>
      </c>
      <c r="D7" s="10"/>
      <c r="E7" s="10">
        <f>SUM(E2:E6)</f>
        <v>324.96898448361026</v>
      </c>
    </row>
    <row r="8" spans="1:8" x14ac:dyDescent="0.25">
      <c r="A8" t="s">
        <v>153</v>
      </c>
      <c r="B8" s="10">
        <f>C7/B7</f>
        <v>0.44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5" sqref="F5"/>
    </sheetView>
  </sheetViews>
  <sheetFormatPr defaultRowHeight="15" x14ac:dyDescent="0.25"/>
  <cols>
    <col min="1" max="1" width="26.42578125" customWidth="1"/>
    <col min="2" max="2" width="26" customWidth="1"/>
  </cols>
  <sheetData>
    <row r="1" spans="1:2" ht="30" x14ac:dyDescent="0.25">
      <c r="A1" s="17" t="s">
        <v>156</v>
      </c>
      <c r="B1" s="17" t="s">
        <v>157</v>
      </c>
    </row>
    <row r="2" spans="1:2" ht="60" x14ac:dyDescent="0.25">
      <c r="A2" s="28" t="s">
        <v>158</v>
      </c>
      <c r="B2" s="29">
        <f>1/64</f>
        <v>1.5625E-2</v>
      </c>
    </row>
    <row r="3" spans="1:2" ht="30" x14ac:dyDescent="0.25">
      <c r="A3" s="28" t="s">
        <v>159</v>
      </c>
      <c r="B3" s="29">
        <v>6400</v>
      </c>
    </row>
    <row r="4" spans="1:2" ht="30.75" x14ac:dyDescent="0.25">
      <c r="A4" s="28" t="s">
        <v>160</v>
      </c>
      <c r="B4" s="29">
        <f>B2*B3</f>
        <v>100</v>
      </c>
    </row>
    <row r="5" spans="1:2" ht="60" x14ac:dyDescent="0.25">
      <c r="A5" s="28" t="s">
        <v>161</v>
      </c>
      <c r="B5" s="29">
        <v>2</v>
      </c>
    </row>
    <row r="6" spans="1:2" ht="45" x14ac:dyDescent="0.25">
      <c r="A6" s="28" t="s">
        <v>162</v>
      </c>
      <c r="B6" s="29">
        <f>_xlfn.POISSON.DIST(B5, B4, FALSE)</f>
        <v>1.8600379880104138E-40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3.28515625" customWidth="1"/>
    <col min="2" max="2" width="23.42578125" customWidth="1"/>
  </cols>
  <sheetData>
    <row r="1" spans="1:2" x14ac:dyDescent="0.25">
      <c r="A1" s="28" t="s">
        <v>145</v>
      </c>
      <c r="B1" s="28">
        <v>65.5</v>
      </c>
    </row>
    <row r="2" spans="1:2" ht="45" x14ac:dyDescent="0.25">
      <c r="A2" s="28" t="s">
        <v>163</v>
      </c>
      <c r="B2" s="28">
        <v>2.5</v>
      </c>
    </row>
    <row r="3" spans="1:2" ht="45" x14ac:dyDescent="0.25">
      <c r="A3" s="28" t="s">
        <v>164</v>
      </c>
      <c r="B3" s="28">
        <v>68</v>
      </c>
    </row>
    <row r="4" spans="1:2" ht="45" x14ac:dyDescent="0.25">
      <c r="A4" s="28" t="s">
        <v>165</v>
      </c>
      <c r="B4" s="29">
        <f>(B3-B1)/B2</f>
        <v>1</v>
      </c>
    </row>
    <row r="5" spans="1:2" ht="75" x14ac:dyDescent="0.25">
      <c r="A5" s="28" t="s">
        <v>166</v>
      </c>
      <c r="B5" s="29">
        <f>_xlfn.NORM.S.DIST(B4, TRUE)</f>
        <v>0.84134474606854304</v>
      </c>
    </row>
    <row r="6" spans="1:2" ht="75" x14ac:dyDescent="0.25">
      <c r="A6" s="28" t="s">
        <v>167</v>
      </c>
      <c r="B6" s="29">
        <f>1-B5</f>
        <v>0.15865525393145696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12"/>
  <sheetViews>
    <sheetView workbookViewId="0">
      <selection activeCell="G11" sqref="G11"/>
    </sheetView>
  </sheetViews>
  <sheetFormatPr defaultRowHeight="15" x14ac:dyDescent="0.25"/>
  <sheetData>
    <row r="11" spans="3:7" x14ac:dyDescent="0.25">
      <c r="C11" t="s">
        <v>76</v>
      </c>
      <c r="E11" s="21" t="s">
        <v>78</v>
      </c>
      <c r="F11" s="22"/>
      <c r="G11">
        <f>2*0.22+3*0.48</f>
        <v>1.88</v>
      </c>
    </row>
    <row r="12" spans="3:7" x14ac:dyDescent="0.25">
      <c r="C12" t="s">
        <v>77</v>
      </c>
      <c r="E12">
        <v>2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8" sqref="H18"/>
    </sheetView>
  </sheetViews>
  <sheetFormatPr defaultRowHeight="15" x14ac:dyDescent="0.25"/>
  <cols>
    <col min="1" max="1" width="14.7109375" customWidth="1"/>
    <col min="2" max="2" width="29" customWidth="1"/>
  </cols>
  <sheetData>
    <row r="1" spans="1:2" x14ac:dyDescent="0.25">
      <c r="A1">
        <v>66</v>
      </c>
      <c r="B1" s="18" t="s">
        <v>168</v>
      </c>
    </row>
    <row r="2" spans="1:2" x14ac:dyDescent="0.25">
      <c r="A2">
        <v>70</v>
      </c>
      <c r="B2" s="18" t="s">
        <v>169</v>
      </c>
    </row>
    <row r="3" spans="1:2" x14ac:dyDescent="0.25">
      <c r="A3">
        <v>68</v>
      </c>
      <c r="B3" s="18" t="s">
        <v>170</v>
      </c>
    </row>
    <row r="4" spans="1:2" x14ac:dyDescent="0.25">
      <c r="A4">
        <v>3</v>
      </c>
      <c r="B4" s="18" t="s">
        <v>171</v>
      </c>
    </row>
    <row r="5" spans="1:2" x14ac:dyDescent="0.25">
      <c r="A5">
        <f>_xlfn.NORM.DIST(A2, A3, A4, TRUE)</f>
        <v>0.74750746245307709</v>
      </c>
      <c r="B5" s="18" t="s">
        <v>172</v>
      </c>
    </row>
    <row r="6" spans="1:2" x14ac:dyDescent="0.25">
      <c r="A6">
        <f>_xlfn.NORM.DIST(A1, A3, A4, TRUE)</f>
        <v>0.25249253754692291</v>
      </c>
      <c r="B6" s="18" t="s">
        <v>173</v>
      </c>
    </row>
    <row r="7" spans="1:2" x14ac:dyDescent="0.25">
      <c r="A7">
        <f>A5-A6</f>
        <v>0.49501492490615417</v>
      </c>
      <c r="B7" s="18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K11" sqref="K11"/>
    </sheetView>
  </sheetViews>
  <sheetFormatPr defaultRowHeight="15" x14ac:dyDescent="0.25"/>
  <cols>
    <col min="1" max="1" width="17.28515625" customWidth="1"/>
  </cols>
  <sheetData>
    <row r="1" spans="1:3" x14ac:dyDescent="0.25">
      <c r="A1" s="32" t="s">
        <v>175</v>
      </c>
      <c r="B1" s="32" t="s">
        <v>176</v>
      </c>
      <c r="C1" s="24" t="s">
        <v>191</v>
      </c>
    </row>
    <row r="2" spans="1:3" x14ac:dyDescent="0.25">
      <c r="A2" s="33" t="s">
        <v>177</v>
      </c>
      <c r="B2" s="33">
        <v>30</v>
      </c>
      <c r="C2" s="24">
        <f>B2/$B$15</f>
        <v>3.8461538461538464E-2</v>
      </c>
    </row>
    <row r="3" spans="1:3" x14ac:dyDescent="0.25">
      <c r="A3" s="33" t="s">
        <v>178</v>
      </c>
      <c r="B3" s="33">
        <v>35</v>
      </c>
      <c r="C3" s="24">
        <f t="shared" ref="C3:C14" si="0">B3/$B$15</f>
        <v>4.4871794871794872E-2</v>
      </c>
    </row>
    <row r="4" spans="1:3" x14ac:dyDescent="0.25">
      <c r="A4" s="33" t="s">
        <v>179</v>
      </c>
      <c r="B4" s="33">
        <v>40</v>
      </c>
      <c r="C4" s="24">
        <f t="shared" si="0"/>
        <v>5.128205128205128E-2</v>
      </c>
    </row>
    <row r="5" spans="1:3" x14ac:dyDescent="0.25">
      <c r="A5" s="33" t="s">
        <v>180</v>
      </c>
      <c r="B5" s="33">
        <v>45</v>
      </c>
      <c r="C5" s="24">
        <f t="shared" si="0"/>
        <v>5.7692307692307696E-2</v>
      </c>
    </row>
    <row r="6" spans="1:3" x14ac:dyDescent="0.25">
      <c r="A6" s="33" t="s">
        <v>181</v>
      </c>
      <c r="B6" s="33">
        <v>50</v>
      </c>
      <c r="C6" s="24">
        <f t="shared" si="0"/>
        <v>6.4102564102564097E-2</v>
      </c>
    </row>
    <row r="7" spans="1:3" x14ac:dyDescent="0.25">
      <c r="A7" s="33" t="s">
        <v>182</v>
      </c>
      <c r="B7" s="33">
        <v>55</v>
      </c>
      <c r="C7" s="24">
        <f t="shared" si="0"/>
        <v>7.0512820512820512E-2</v>
      </c>
    </row>
    <row r="8" spans="1:3" x14ac:dyDescent="0.25">
      <c r="A8" s="33" t="s">
        <v>183</v>
      </c>
      <c r="B8" s="33">
        <v>60</v>
      </c>
      <c r="C8" s="24">
        <f t="shared" si="0"/>
        <v>7.6923076923076927E-2</v>
      </c>
    </row>
    <row r="9" spans="1:3" x14ac:dyDescent="0.25">
      <c r="A9" s="33" t="s">
        <v>184</v>
      </c>
      <c r="B9" s="33">
        <v>65</v>
      </c>
      <c r="C9" s="24">
        <f t="shared" si="0"/>
        <v>8.3333333333333329E-2</v>
      </c>
    </row>
    <row r="10" spans="1:3" x14ac:dyDescent="0.25">
      <c r="A10" s="33" t="s">
        <v>185</v>
      </c>
      <c r="B10" s="33">
        <v>70</v>
      </c>
      <c r="C10" s="24">
        <f t="shared" si="0"/>
        <v>8.9743589743589744E-2</v>
      </c>
    </row>
    <row r="11" spans="1:3" x14ac:dyDescent="0.25">
      <c r="A11" s="33" t="s">
        <v>186</v>
      </c>
      <c r="B11" s="33">
        <v>75</v>
      </c>
      <c r="C11" s="24">
        <f t="shared" si="0"/>
        <v>9.6153846153846159E-2</v>
      </c>
    </row>
    <row r="12" spans="1:3" x14ac:dyDescent="0.25">
      <c r="A12" s="33" t="s">
        <v>187</v>
      </c>
      <c r="B12" s="33">
        <v>80</v>
      </c>
      <c r="C12" s="24">
        <f t="shared" si="0"/>
        <v>0.10256410256410256</v>
      </c>
    </row>
    <row r="13" spans="1:3" x14ac:dyDescent="0.25">
      <c r="A13" s="33" t="s">
        <v>188</v>
      </c>
      <c r="B13" s="33">
        <v>85</v>
      </c>
      <c r="C13" s="24">
        <f t="shared" si="0"/>
        <v>0.10897435897435898</v>
      </c>
    </row>
    <row r="14" spans="1:3" x14ac:dyDescent="0.25">
      <c r="A14" s="33" t="s">
        <v>189</v>
      </c>
      <c r="B14" s="33">
        <v>90</v>
      </c>
      <c r="C14" s="24">
        <f t="shared" si="0"/>
        <v>0.11538461538461539</v>
      </c>
    </row>
    <row r="15" spans="1:3" x14ac:dyDescent="0.25">
      <c r="A15" s="33" t="s">
        <v>190</v>
      </c>
      <c r="B15" s="24">
        <f>SUM(B2:B14)</f>
        <v>780</v>
      </c>
      <c r="C15" s="24">
        <f>SUM(C2:C14)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" sqref="F3"/>
    </sheetView>
  </sheetViews>
  <sheetFormatPr defaultRowHeight="15" x14ac:dyDescent="0.25"/>
  <cols>
    <col min="2" max="2" width="19.7109375" customWidth="1"/>
    <col min="3" max="3" width="20.140625" customWidth="1"/>
    <col min="4" max="4" width="29.85546875" customWidth="1"/>
    <col min="5" max="5" width="37" customWidth="1"/>
    <col min="6" max="6" width="21.42578125" customWidth="1"/>
  </cols>
  <sheetData>
    <row r="1" spans="1:6" ht="17.25" x14ac:dyDescent="0.25">
      <c r="A1" s="10" t="s">
        <v>79</v>
      </c>
      <c r="B1" s="10" t="s">
        <v>80</v>
      </c>
      <c r="C1" s="10" t="s">
        <v>81</v>
      </c>
      <c r="D1" s="11" t="s">
        <v>82</v>
      </c>
      <c r="E1" s="13" t="s">
        <v>83</v>
      </c>
    </row>
    <row r="2" spans="1:6" x14ac:dyDescent="0.25">
      <c r="A2">
        <v>1</v>
      </c>
      <c r="B2">
        <f>IF(MOD(A2, 5) = 0, 1, 0)</f>
        <v>0</v>
      </c>
      <c r="C2">
        <f>IF(MOD(A2,7)=0,1,0)</f>
        <v>0</v>
      </c>
      <c r="D2" s="12">
        <f>IF(B2 + C2 &gt; 0, 1, 0)</f>
        <v>0</v>
      </c>
      <c r="E2">
        <f>SUM(D2:D31)</f>
        <v>10</v>
      </c>
    </row>
    <row r="3" spans="1:6" x14ac:dyDescent="0.25">
      <c r="A3">
        <v>2</v>
      </c>
      <c r="B3">
        <f t="shared" ref="B3:B31" si="0">IF(MOD(A3, 5) = 0, 1, 0)</f>
        <v>0</v>
      </c>
      <c r="C3">
        <f t="shared" ref="C3:C31" si="1">IF(MOD(A3,7)=0,1,0)</f>
        <v>0</v>
      </c>
      <c r="D3" s="12">
        <f t="shared" ref="D3:D31" si="2">IF(B3 + C3 &gt; 0, 1, 0)</f>
        <v>0</v>
      </c>
      <c r="E3" t="s">
        <v>85</v>
      </c>
      <c r="F3">
        <v>30</v>
      </c>
    </row>
    <row r="4" spans="1:6" x14ac:dyDescent="0.25">
      <c r="A4">
        <v>3</v>
      </c>
      <c r="B4">
        <f t="shared" si="0"/>
        <v>0</v>
      </c>
      <c r="C4">
        <f t="shared" si="1"/>
        <v>0</v>
      </c>
      <c r="D4" s="12">
        <f t="shared" si="2"/>
        <v>0</v>
      </c>
      <c r="E4" t="s">
        <v>84</v>
      </c>
      <c r="F4" s="10">
        <f>E2/F3</f>
        <v>0.33333333333333331</v>
      </c>
    </row>
    <row r="5" spans="1:6" x14ac:dyDescent="0.25">
      <c r="A5">
        <v>4</v>
      </c>
      <c r="B5">
        <f t="shared" si="0"/>
        <v>0</v>
      </c>
      <c r="C5">
        <f t="shared" si="1"/>
        <v>0</v>
      </c>
      <c r="D5" s="12">
        <f t="shared" si="2"/>
        <v>0</v>
      </c>
    </row>
    <row r="6" spans="1:6" x14ac:dyDescent="0.25">
      <c r="A6">
        <v>5</v>
      </c>
      <c r="B6">
        <f t="shared" si="0"/>
        <v>1</v>
      </c>
      <c r="C6">
        <f t="shared" si="1"/>
        <v>0</v>
      </c>
      <c r="D6" s="12">
        <f t="shared" si="2"/>
        <v>1</v>
      </c>
    </row>
    <row r="7" spans="1:6" x14ac:dyDescent="0.25">
      <c r="A7">
        <v>6</v>
      </c>
      <c r="B7">
        <f t="shared" si="0"/>
        <v>0</v>
      </c>
      <c r="C7">
        <f t="shared" si="1"/>
        <v>0</v>
      </c>
      <c r="D7" s="12">
        <f t="shared" si="2"/>
        <v>0</v>
      </c>
    </row>
    <row r="8" spans="1:6" x14ac:dyDescent="0.25">
      <c r="A8">
        <v>7</v>
      </c>
      <c r="B8">
        <f t="shared" si="0"/>
        <v>0</v>
      </c>
      <c r="C8">
        <f t="shared" si="1"/>
        <v>1</v>
      </c>
      <c r="D8" s="12">
        <f t="shared" si="2"/>
        <v>1</v>
      </c>
    </row>
    <row r="9" spans="1:6" x14ac:dyDescent="0.25">
      <c r="A9">
        <v>8</v>
      </c>
      <c r="B9">
        <f t="shared" si="0"/>
        <v>0</v>
      </c>
      <c r="C9">
        <f t="shared" si="1"/>
        <v>0</v>
      </c>
      <c r="D9" s="12">
        <f t="shared" si="2"/>
        <v>0</v>
      </c>
    </row>
    <row r="10" spans="1:6" x14ac:dyDescent="0.25">
      <c r="A10">
        <v>9</v>
      </c>
      <c r="B10">
        <f t="shared" si="0"/>
        <v>0</v>
      </c>
      <c r="C10">
        <f t="shared" si="1"/>
        <v>0</v>
      </c>
      <c r="D10" s="12">
        <f t="shared" si="2"/>
        <v>0</v>
      </c>
    </row>
    <row r="11" spans="1:6" x14ac:dyDescent="0.25">
      <c r="A11">
        <v>10</v>
      </c>
      <c r="B11">
        <f t="shared" si="0"/>
        <v>1</v>
      </c>
      <c r="C11">
        <f t="shared" si="1"/>
        <v>0</v>
      </c>
      <c r="D11" s="12">
        <f t="shared" si="2"/>
        <v>1</v>
      </c>
    </row>
    <row r="12" spans="1:6" x14ac:dyDescent="0.25">
      <c r="A12">
        <v>11</v>
      </c>
      <c r="B12">
        <f t="shared" si="0"/>
        <v>0</v>
      </c>
      <c r="C12">
        <f t="shared" si="1"/>
        <v>0</v>
      </c>
      <c r="D12" s="12">
        <f t="shared" si="2"/>
        <v>0</v>
      </c>
    </row>
    <row r="13" spans="1:6" x14ac:dyDescent="0.25">
      <c r="A13">
        <v>12</v>
      </c>
      <c r="B13">
        <f t="shared" si="0"/>
        <v>0</v>
      </c>
      <c r="C13">
        <f t="shared" si="1"/>
        <v>0</v>
      </c>
      <c r="D13" s="12">
        <f t="shared" si="2"/>
        <v>0</v>
      </c>
    </row>
    <row r="14" spans="1:6" x14ac:dyDescent="0.25">
      <c r="A14">
        <v>13</v>
      </c>
      <c r="B14">
        <f t="shared" si="0"/>
        <v>0</v>
      </c>
      <c r="C14">
        <f t="shared" si="1"/>
        <v>0</v>
      </c>
      <c r="D14" s="12">
        <f t="shared" si="2"/>
        <v>0</v>
      </c>
    </row>
    <row r="15" spans="1:6" x14ac:dyDescent="0.25">
      <c r="A15">
        <v>14</v>
      </c>
      <c r="B15">
        <f t="shared" si="0"/>
        <v>0</v>
      </c>
      <c r="C15">
        <f t="shared" si="1"/>
        <v>1</v>
      </c>
      <c r="D15" s="12">
        <f t="shared" si="2"/>
        <v>1</v>
      </c>
    </row>
    <row r="16" spans="1:6" x14ac:dyDescent="0.25">
      <c r="A16">
        <v>15</v>
      </c>
      <c r="B16">
        <f t="shared" si="0"/>
        <v>1</v>
      </c>
      <c r="C16">
        <f t="shared" si="1"/>
        <v>0</v>
      </c>
      <c r="D16" s="12">
        <f t="shared" si="2"/>
        <v>1</v>
      </c>
    </row>
    <row r="17" spans="1:4" x14ac:dyDescent="0.25">
      <c r="A17">
        <v>16</v>
      </c>
      <c r="B17">
        <f t="shared" si="0"/>
        <v>0</v>
      </c>
      <c r="C17">
        <f t="shared" si="1"/>
        <v>0</v>
      </c>
      <c r="D17" s="12">
        <f t="shared" si="2"/>
        <v>0</v>
      </c>
    </row>
    <row r="18" spans="1:4" x14ac:dyDescent="0.25">
      <c r="A18">
        <v>17</v>
      </c>
      <c r="B18">
        <f t="shared" si="0"/>
        <v>0</v>
      </c>
      <c r="C18">
        <f t="shared" si="1"/>
        <v>0</v>
      </c>
      <c r="D18" s="12">
        <f t="shared" si="2"/>
        <v>0</v>
      </c>
    </row>
    <row r="19" spans="1:4" x14ac:dyDescent="0.25">
      <c r="A19">
        <v>18</v>
      </c>
      <c r="B19">
        <f t="shared" si="0"/>
        <v>0</v>
      </c>
      <c r="C19">
        <f t="shared" si="1"/>
        <v>0</v>
      </c>
      <c r="D19" s="12">
        <f t="shared" si="2"/>
        <v>0</v>
      </c>
    </row>
    <row r="20" spans="1:4" x14ac:dyDescent="0.25">
      <c r="A20">
        <v>19</v>
      </c>
      <c r="B20">
        <f t="shared" si="0"/>
        <v>0</v>
      </c>
      <c r="C20">
        <f t="shared" si="1"/>
        <v>0</v>
      </c>
      <c r="D20" s="12">
        <f t="shared" si="2"/>
        <v>0</v>
      </c>
    </row>
    <row r="21" spans="1:4" x14ac:dyDescent="0.25">
      <c r="A21">
        <v>20</v>
      </c>
      <c r="B21">
        <f t="shared" si="0"/>
        <v>1</v>
      </c>
      <c r="C21">
        <f t="shared" si="1"/>
        <v>0</v>
      </c>
      <c r="D21" s="12">
        <f t="shared" si="2"/>
        <v>1</v>
      </c>
    </row>
    <row r="22" spans="1:4" x14ac:dyDescent="0.25">
      <c r="A22">
        <v>21</v>
      </c>
      <c r="B22">
        <f t="shared" si="0"/>
        <v>0</v>
      </c>
      <c r="C22">
        <f t="shared" si="1"/>
        <v>1</v>
      </c>
      <c r="D22" s="12">
        <f t="shared" si="2"/>
        <v>1</v>
      </c>
    </row>
    <row r="23" spans="1:4" x14ac:dyDescent="0.25">
      <c r="A23">
        <v>22</v>
      </c>
      <c r="B23">
        <f t="shared" si="0"/>
        <v>0</v>
      </c>
      <c r="C23">
        <f t="shared" si="1"/>
        <v>0</v>
      </c>
      <c r="D23" s="12">
        <f t="shared" si="2"/>
        <v>0</v>
      </c>
    </row>
    <row r="24" spans="1:4" x14ac:dyDescent="0.25">
      <c r="A24">
        <v>23</v>
      </c>
      <c r="B24">
        <f t="shared" si="0"/>
        <v>0</v>
      </c>
      <c r="C24">
        <f t="shared" si="1"/>
        <v>0</v>
      </c>
      <c r="D24" s="12">
        <f t="shared" si="2"/>
        <v>0</v>
      </c>
    </row>
    <row r="25" spans="1:4" x14ac:dyDescent="0.25">
      <c r="A25">
        <v>24</v>
      </c>
      <c r="B25">
        <f t="shared" si="0"/>
        <v>0</v>
      </c>
      <c r="C25">
        <f t="shared" si="1"/>
        <v>0</v>
      </c>
      <c r="D25" s="12">
        <f t="shared" si="2"/>
        <v>0</v>
      </c>
    </row>
    <row r="26" spans="1:4" x14ac:dyDescent="0.25">
      <c r="A26">
        <v>25</v>
      </c>
      <c r="B26">
        <f t="shared" si="0"/>
        <v>1</v>
      </c>
      <c r="C26">
        <f t="shared" si="1"/>
        <v>0</v>
      </c>
      <c r="D26" s="12">
        <f t="shared" si="2"/>
        <v>1</v>
      </c>
    </row>
    <row r="27" spans="1:4" x14ac:dyDescent="0.25">
      <c r="A27">
        <v>26</v>
      </c>
      <c r="B27">
        <f t="shared" si="0"/>
        <v>0</v>
      </c>
      <c r="C27">
        <f t="shared" si="1"/>
        <v>0</v>
      </c>
      <c r="D27" s="12">
        <f t="shared" si="2"/>
        <v>0</v>
      </c>
    </row>
    <row r="28" spans="1:4" x14ac:dyDescent="0.25">
      <c r="A28">
        <v>27</v>
      </c>
      <c r="B28">
        <f t="shared" si="0"/>
        <v>0</v>
      </c>
      <c r="C28">
        <f t="shared" si="1"/>
        <v>0</v>
      </c>
      <c r="D28" s="12">
        <f t="shared" si="2"/>
        <v>0</v>
      </c>
    </row>
    <row r="29" spans="1:4" x14ac:dyDescent="0.25">
      <c r="A29">
        <v>28</v>
      </c>
      <c r="B29">
        <f t="shared" si="0"/>
        <v>0</v>
      </c>
      <c r="C29">
        <f t="shared" si="1"/>
        <v>1</v>
      </c>
      <c r="D29" s="12">
        <f t="shared" si="2"/>
        <v>1</v>
      </c>
    </row>
    <row r="30" spans="1:4" x14ac:dyDescent="0.25">
      <c r="A30">
        <v>29</v>
      </c>
      <c r="B30">
        <f t="shared" si="0"/>
        <v>0</v>
      </c>
      <c r="C30">
        <f t="shared" si="1"/>
        <v>0</v>
      </c>
      <c r="D30" s="12">
        <f t="shared" si="2"/>
        <v>0</v>
      </c>
    </row>
    <row r="31" spans="1:4" x14ac:dyDescent="0.25">
      <c r="A31">
        <v>30</v>
      </c>
      <c r="B31">
        <f t="shared" si="0"/>
        <v>1</v>
      </c>
      <c r="C31">
        <f t="shared" si="1"/>
        <v>0</v>
      </c>
      <c r="D31" s="12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2" sqref="F2"/>
    </sheetView>
  </sheetViews>
  <sheetFormatPr defaultRowHeight="15" x14ac:dyDescent="0.25"/>
  <cols>
    <col min="4" max="4" width="27.7109375" customWidth="1"/>
    <col min="5" max="5" width="16.28515625" bestFit="1" customWidth="1"/>
    <col min="6" max="6" width="13.42578125" customWidth="1"/>
  </cols>
  <sheetData>
    <row r="1" spans="1:6" ht="15.75" x14ac:dyDescent="0.25">
      <c r="A1" s="10" t="s">
        <v>86</v>
      </c>
      <c r="B1" s="10" t="s">
        <v>87</v>
      </c>
      <c r="C1" s="10" t="s">
        <v>88</v>
      </c>
      <c r="D1" s="14" t="s">
        <v>89</v>
      </c>
      <c r="E1" s="10" t="s">
        <v>90</v>
      </c>
      <c r="F1" s="16" t="s">
        <v>84</v>
      </c>
    </row>
    <row r="2" spans="1:6" x14ac:dyDescent="0.25">
      <c r="A2">
        <v>1</v>
      </c>
      <c r="B2">
        <v>1</v>
      </c>
      <c r="C2">
        <f>A2+B2</f>
        <v>2</v>
      </c>
      <c r="D2">
        <f>COUNTIF('23'!C2:C37,7)+COUNTIF('23'!C2:C37,11)</f>
        <v>8</v>
      </c>
      <c r="E2" s="15">
        <v>36</v>
      </c>
      <c r="F2" s="10">
        <f>D2/E2</f>
        <v>0.22222222222222221</v>
      </c>
    </row>
    <row r="3" spans="1:6" x14ac:dyDescent="0.25">
      <c r="A3">
        <v>1</v>
      </c>
      <c r="B3">
        <v>2</v>
      </c>
      <c r="C3">
        <f t="shared" ref="C3:C37" si="0">A3+B3</f>
        <v>3</v>
      </c>
    </row>
    <row r="4" spans="1:6" x14ac:dyDescent="0.25">
      <c r="A4">
        <v>1</v>
      </c>
      <c r="B4">
        <v>3</v>
      </c>
      <c r="C4">
        <f t="shared" si="0"/>
        <v>4</v>
      </c>
    </row>
    <row r="5" spans="1:6" x14ac:dyDescent="0.25">
      <c r="A5">
        <v>1</v>
      </c>
      <c r="B5">
        <v>4</v>
      </c>
      <c r="C5">
        <f t="shared" si="0"/>
        <v>5</v>
      </c>
    </row>
    <row r="6" spans="1:6" x14ac:dyDescent="0.25">
      <c r="A6">
        <v>1</v>
      </c>
      <c r="B6">
        <v>5</v>
      </c>
      <c r="C6">
        <f t="shared" si="0"/>
        <v>6</v>
      </c>
    </row>
    <row r="7" spans="1:6" x14ac:dyDescent="0.25">
      <c r="A7">
        <v>1</v>
      </c>
      <c r="B7">
        <v>6</v>
      </c>
      <c r="C7">
        <f t="shared" si="0"/>
        <v>7</v>
      </c>
    </row>
    <row r="8" spans="1:6" x14ac:dyDescent="0.25">
      <c r="A8">
        <v>2</v>
      </c>
      <c r="B8">
        <v>1</v>
      </c>
      <c r="C8">
        <f t="shared" si="0"/>
        <v>3</v>
      </c>
    </row>
    <row r="9" spans="1:6" x14ac:dyDescent="0.25">
      <c r="A9">
        <v>2</v>
      </c>
      <c r="B9">
        <v>2</v>
      </c>
      <c r="C9">
        <f t="shared" si="0"/>
        <v>4</v>
      </c>
    </row>
    <row r="10" spans="1:6" x14ac:dyDescent="0.25">
      <c r="A10">
        <v>2</v>
      </c>
      <c r="B10">
        <v>3</v>
      </c>
      <c r="C10">
        <f t="shared" si="0"/>
        <v>5</v>
      </c>
    </row>
    <row r="11" spans="1:6" x14ac:dyDescent="0.25">
      <c r="A11">
        <v>2</v>
      </c>
      <c r="B11">
        <v>4</v>
      </c>
      <c r="C11">
        <f t="shared" si="0"/>
        <v>6</v>
      </c>
    </row>
    <row r="12" spans="1:6" x14ac:dyDescent="0.25">
      <c r="A12">
        <v>2</v>
      </c>
      <c r="B12">
        <v>5</v>
      </c>
      <c r="C12">
        <f t="shared" si="0"/>
        <v>7</v>
      </c>
    </row>
    <row r="13" spans="1:6" x14ac:dyDescent="0.25">
      <c r="A13">
        <v>2</v>
      </c>
      <c r="B13">
        <v>6</v>
      </c>
      <c r="C13">
        <f t="shared" si="0"/>
        <v>8</v>
      </c>
    </row>
    <row r="14" spans="1:6" x14ac:dyDescent="0.25">
      <c r="A14">
        <v>3</v>
      </c>
      <c r="B14">
        <v>1</v>
      </c>
      <c r="C14">
        <f t="shared" si="0"/>
        <v>4</v>
      </c>
    </row>
    <row r="15" spans="1:6" x14ac:dyDescent="0.25">
      <c r="A15">
        <v>3</v>
      </c>
      <c r="B15">
        <v>2</v>
      </c>
      <c r="C15">
        <f t="shared" si="0"/>
        <v>5</v>
      </c>
    </row>
    <row r="16" spans="1:6" x14ac:dyDescent="0.25">
      <c r="A16">
        <v>3</v>
      </c>
      <c r="B16">
        <v>3</v>
      </c>
      <c r="C16">
        <f t="shared" si="0"/>
        <v>6</v>
      </c>
    </row>
    <row r="17" spans="1:3" x14ac:dyDescent="0.25">
      <c r="A17">
        <v>3</v>
      </c>
      <c r="B17">
        <v>4</v>
      </c>
      <c r="C17">
        <f t="shared" si="0"/>
        <v>7</v>
      </c>
    </row>
    <row r="18" spans="1:3" x14ac:dyDescent="0.25">
      <c r="A18">
        <v>3</v>
      </c>
      <c r="B18">
        <v>5</v>
      </c>
      <c r="C18">
        <f t="shared" si="0"/>
        <v>8</v>
      </c>
    </row>
    <row r="19" spans="1:3" x14ac:dyDescent="0.25">
      <c r="A19">
        <v>3</v>
      </c>
      <c r="B19">
        <v>6</v>
      </c>
      <c r="C19">
        <f t="shared" si="0"/>
        <v>9</v>
      </c>
    </row>
    <row r="20" spans="1:3" x14ac:dyDescent="0.25">
      <c r="A20">
        <v>4</v>
      </c>
      <c r="B20">
        <v>1</v>
      </c>
      <c r="C20">
        <f t="shared" si="0"/>
        <v>5</v>
      </c>
    </row>
    <row r="21" spans="1:3" x14ac:dyDescent="0.25">
      <c r="A21">
        <v>4</v>
      </c>
      <c r="B21">
        <v>2</v>
      </c>
      <c r="C21">
        <f t="shared" si="0"/>
        <v>6</v>
      </c>
    </row>
    <row r="22" spans="1:3" x14ac:dyDescent="0.25">
      <c r="A22">
        <v>4</v>
      </c>
      <c r="B22">
        <v>3</v>
      </c>
      <c r="C22">
        <f t="shared" si="0"/>
        <v>7</v>
      </c>
    </row>
    <row r="23" spans="1:3" x14ac:dyDescent="0.25">
      <c r="A23">
        <v>4</v>
      </c>
      <c r="B23">
        <v>4</v>
      </c>
      <c r="C23">
        <f t="shared" si="0"/>
        <v>8</v>
      </c>
    </row>
    <row r="24" spans="1:3" x14ac:dyDescent="0.25">
      <c r="A24">
        <v>4</v>
      </c>
      <c r="B24">
        <v>5</v>
      </c>
      <c r="C24">
        <f t="shared" si="0"/>
        <v>9</v>
      </c>
    </row>
    <row r="25" spans="1:3" x14ac:dyDescent="0.25">
      <c r="A25">
        <v>4</v>
      </c>
      <c r="B25">
        <v>6</v>
      </c>
      <c r="C25">
        <f t="shared" si="0"/>
        <v>10</v>
      </c>
    </row>
    <row r="26" spans="1:3" x14ac:dyDescent="0.25">
      <c r="A26">
        <v>5</v>
      </c>
      <c r="B26">
        <v>1</v>
      </c>
      <c r="C26">
        <f t="shared" si="0"/>
        <v>6</v>
      </c>
    </row>
    <row r="27" spans="1:3" x14ac:dyDescent="0.25">
      <c r="A27">
        <v>5</v>
      </c>
      <c r="B27">
        <v>2</v>
      </c>
      <c r="C27">
        <f t="shared" si="0"/>
        <v>7</v>
      </c>
    </row>
    <row r="28" spans="1:3" x14ac:dyDescent="0.25">
      <c r="A28">
        <v>5</v>
      </c>
      <c r="B28">
        <v>3</v>
      </c>
      <c r="C28">
        <f t="shared" si="0"/>
        <v>8</v>
      </c>
    </row>
    <row r="29" spans="1:3" x14ac:dyDescent="0.25">
      <c r="A29">
        <v>5</v>
      </c>
      <c r="B29">
        <v>4</v>
      </c>
      <c r="C29">
        <f t="shared" si="0"/>
        <v>9</v>
      </c>
    </row>
    <row r="30" spans="1:3" x14ac:dyDescent="0.25">
      <c r="A30">
        <v>5</v>
      </c>
      <c r="B30">
        <v>5</v>
      </c>
      <c r="C30">
        <f t="shared" si="0"/>
        <v>10</v>
      </c>
    </row>
    <row r="31" spans="1:3" x14ac:dyDescent="0.25">
      <c r="A31">
        <v>5</v>
      </c>
      <c r="B31">
        <v>6</v>
      </c>
      <c r="C31">
        <f t="shared" si="0"/>
        <v>11</v>
      </c>
    </row>
    <row r="32" spans="1:3" x14ac:dyDescent="0.25">
      <c r="A32">
        <v>6</v>
      </c>
      <c r="B32">
        <v>1</v>
      </c>
      <c r="C32">
        <f t="shared" si="0"/>
        <v>7</v>
      </c>
    </row>
    <row r="33" spans="1:3" x14ac:dyDescent="0.25">
      <c r="A33">
        <v>6</v>
      </c>
      <c r="B33">
        <v>2</v>
      </c>
      <c r="C33">
        <f t="shared" si="0"/>
        <v>8</v>
      </c>
    </row>
    <row r="34" spans="1:3" x14ac:dyDescent="0.25">
      <c r="A34">
        <v>6</v>
      </c>
      <c r="B34">
        <v>3</v>
      </c>
      <c r="C34">
        <f t="shared" si="0"/>
        <v>9</v>
      </c>
    </row>
    <row r="35" spans="1:3" x14ac:dyDescent="0.25">
      <c r="A35">
        <v>6</v>
      </c>
      <c r="B35">
        <v>4</v>
      </c>
      <c r="C35">
        <f t="shared" si="0"/>
        <v>10</v>
      </c>
    </row>
    <row r="36" spans="1:3" x14ac:dyDescent="0.25">
      <c r="A36">
        <v>6</v>
      </c>
      <c r="B36">
        <v>5</v>
      </c>
      <c r="C36">
        <f t="shared" si="0"/>
        <v>11</v>
      </c>
    </row>
    <row r="37" spans="1:3" x14ac:dyDescent="0.25">
      <c r="A37">
        <v>6</v>
      </c>
      <c r="B37">
        <v>6</v>
      </c>
      <c r="C37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cols>
    <col min="1" max="1" width="18.140625" customWidth="1"/>
    <col min="2" max="2" width="23.140625" customWidth="1"/>
    <col min="3" max="3" width="23.5703125" customWidth="1"/>
    <col min="4" max="4" width="23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 x14ac:dyDescent="0.25"/>
  <cols>
    <col min="1" max="1" width="33" customWidth="1"/>
    <col min="2" max="2" width="34.42578125" customWidth="1"/>
  </cols>
  <sheetData>
    <row r="1" spans="1:3" ht="45" x14ac:dyDescent="0.25">
      <c r="A1" s="17" t="s">
        <v>92</v>
      </c>
      <c r="B1" s="17" t="s">
        <v>93</v>
      </c>
      <c r="C1" s="17" t="s">
        <v>94</v>
      </c>
    </row>
    <row r="2" spans="1:3" x14ac:dyDescent="0.25">
      <c r="A2" s="17" t="s">
        <v>91</v>
      </c>
      <c r="B2">
        <f>1/2</f>
        <v>0.5</v>
      </c>
      <c r="C2">
        <f>1-B2</f>
        <v>0.5</v>
      </c>
    </row>
    <row r="3" spans="1:3" x14ac:dyDescent="0.25">
      <c r="A3" s="17" t="s">
        <v>98</v>
      </c>
      <c r="B3">
        <f>1/3</f>
        <v>0.33333333333333331</v>
      </c>
      <c r="C3">
        <f>1-B3</f>
        <v>0.66666666666666674</v>
      </c>
    </row>
    <row r="4" spans="1:3" x14ac:dyDescent="0.25">
      <c r="A4" s="17" t="s">
        <v>95</v>
      </c>
      <c r="B4">
        <f>1/4</f>
        <v>0.25</v>
      </c>
      <c r="C4">
        <f>1-B4</f>
        <v>0.75</v>
      </c>
    </row>
    <row r="5" spans="1:3" x14ac:dyDescent="0.25">
      <c r="A5" s="17" t="s">
        <v>96</v>
      </c>
      <c r="B5">
        <f>1/5</f>
        <v>0.2</v>
      </c>
      <c r="C5">
        <f>1-B5</f>
        <v>0.8</v>
      </c>
    </row>
    <row r="6" spans="1:3" x14ac:dyDescent="0.25">
      <c r="A6" s="17" t="s">
        <v>97</v>
      </c>
      <c r="B6">
        <f>1/6</f>
        <v>0.16666666666666666</v>
      </c>
      <c r="C6">
        <f>1-B6</f>
        <v>0.83333333333333337</v>
      </c>
    </row>
    <row r="7" spans="1:3" x14ac:dyDescent="0.25">
      <c r="A7" t="s">
        <v>99</v>
      </c>
      <c r="B7" s="10">
        <f>C2*C3*C4*C5*C6</f>
        <v>0.16666666666666669</v>
      </c>
    </row>
    <row r="8" spans="1:3" x14ac:dyDescent="0.25">
      <c r="A8" t="s">
        <v>100</v>
      </c>
      <c r="B8" s="10">
        <f>1-B7</f>
        <v>0.83333333333333326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8.28515625" customWidth="1"/>
    <col min="2" max="2" width="18.140625" customWidth="1"/>
    <col min="3" max="3" width="27.7109375" customWidth="1"/>
  </cols>
  <sheetData>
    <row r="1" spans="1:4" x14ac:dyDescent="0.25">
      <c r="A1" s="10" t="s">
        <v>103</v>
      </c>
      <c r="B1" s="10" t="s">
        <v>104</v>
      </c>
    </row>
    <row r="2" spans="1:4" x14ac:dyDescent="0.25">
      <c r="A2">
        <v>12</v>
      </c>
      <c r="B2">
        <v>4</v>
      </c>
    </row>
    <row r="4" spans="1:4" x14ac:dyDescent="0.25">
      <c r="C4" t="s">
        <v>105</v>
      </c>
      <c r="D4" s="10">
        <f>COMBIN(A2,B2)</f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3.28515625" customWidth="1"/>
    <col min="2" max="2" width="20.42578125" customWidth="1"/>
  </cols>
  <sheetData>
    <row r="1" spans="1:2" x14ac:dyDescent="0.25">
      <c r="A1" s="10" t="s">
        <v>101</v>
      </c>
      <c r="B1" s="10" t="s">
        <v>102</v>
      </c>
    </row>
    <row r="2" spans="1:2" x14ac:dyDescent="0.25">
      <c r="A2">
        <v>10</v>
      </c>
      <c r="B2">
        <v>3</v>
      </c>
    </row>
    <row r="3" spans="1:2" x14ac:dyDescent="0.25">
      <c r="B3" s="10">
        <f>PERMUT(A2,B2)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D1" workbookViewId="0">
      <selection activeCell="H5" sqref="F1:H6"/>
    </sheetView>
  </sheetViews>
  <sheetFormatPr defaultRowHeight="15" x14ac:dyDescent="0.25"/>
  <cols>
    <col min="1" max="1" width="16.140625" customWidth="1"/>
    <col min="2" max="2" width="23.5703125" customWidth="1"/>
    <col min="3" max="3" width="17.85546875" customWidth="1"/>
    <col min="6" max="6" width="40.28515625" customWidth="1"/>
    <col min="7" max="7" width="53.42578125" customWidth="1"/>
    <col min="8" max="8" width="64.7109375" customWidth="1"/>
  </cols>
  <sheetData>
    <row r="1" spans="1:8" x14ac:dyDescent="0.25">
      <c r="A1" t="s">
        <v>106</v>
      </c>
      <c r="B1" t="s">
        <v>112</v>
      </c>
      <c r="C1" t="s">
        <v>107</v>
      </c>
      <c r="D1" t="s">
        <v>108</v>
      </c>
      <c r="F1" s="10" t="s">
        <v>193</v>
      </c>
      <c r="G1" s="35" t="s">
        <v>192</v>
      </c>
      <c r="H1" t="s">
        <v>196</v>
      </c>
    </row>
    <row r="2" spans="1:8" x14ac:dyDescent="0.25">
      <c r="A2" t="s">
        <v>109</v>
      </c>
      <c r="B2">
        <v>90</v>
      </c>
      <c r="C2">
        <v>10</v>
      </c>
      <c r="D2">
        <v>100</v>
      </c>
      <c r="F2" s="20">
        <f>B5/D5</f>
        <v>0.75</v>
      </c>
      <c r="G2">
        <f>C4/D5</f>
        <v>0.05</v>
      </c>
      <c r="H2">
        <f>B2/D5</f>
        <v>0.45</v>
      </c>
    </row>
    <row r="3" spans="1:8" x14ac:dyDescent="0.25">
      <c r="A3" t="s">
        <v>110</v>
      </c>
      <c r="B3">
        <v>20</v>
      </c>
      <c r="C3">
        <v>30</v>
      </c>
      <c r="D3">
        <v>50</v>
      </c>
      <c r="F3" s="18"/>
      <c r="G3" t="s">
        <v>194</v>
      </c>
      <c r="H3" s="26" t="s">
        <v>197</v>
      </c>
    </row>
    <row r="4" spans="1:8" x14ac:dyDescent="0.25">
      <c r="A4" t="s">
        <v>111</v>
      </c>
      <c r="B4">
        <v>40</v>
      </c>
      <c r="C4">
        <v>10</v>
      </c>
      <c r="D4">
        <v>50</v>
      </c>
      <c r="F4" s="19"/>
      <c r="G4">
        <f>D4/D5</f>
        <v>0.25</v>
      </c>
      <c r="H4">
        <f>H2/F2</f>
        <v>0.6</v>
      </c>
    </row>
    <row r="5" spans="1:8" x14ac:dyDescent="0.25">
      <c r="A5" t="s">
        <v>108</v>
      </c>
      <c r="B5">
        <v>150</v>
      </c>
      <c r="C5">
        <v>50</v>
      </c>
      <c r="D5">
        <v>200</v>
      </c>
      <c r="F5" s="34"/>
      <c r="G5" t="s">
        <v>195</v>
      </c>
    </row>
    <row r="6" spans="1:8" x14ac:dyDescent="0.25">
      <c r="F6" s="19"/>
      <c r="G6">
        <f>G2/G4</f>
        <v>0.2</v>
      </c>
    </row>
    <row r="11" spans="1:8" x14ac:dyDescent="0.25">
      <c r="F1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38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2024-10-20T05:37:16Z</dcterms:modified>
</cp:coreProperties>
</file>