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ergio\Documenti\Pessoal\Dissertation\git\cicdlab\results\"/>
    </mc:Choice>
  </mc:AlternateContent>
  <xr:revisionPtr revIDLastSave="0" documentId="13_ncr:1_{EFDA09DE-0B14-4838-A591-2A415588FB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 Results" sheetId="2" r:id="rId1"/>
    <sheet name="Expected Results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26" i="2"/>
  <c r="E7" i="1"/>
  <c r="D7" i="1"/>
  <c r="E6" i="1"/>
  <c r="D6" i="1"/>
  <c r="E5" i="1"/>
  <c r="D5" i="1"/>
  <c r="E4" i="1"/>
  <c r="D4" i="1"/>
  <c r="D8" i="1" s="1"/>
  <c r="E8" i="2"/>
  <c r="D8" i="2"/>
  <c r="E29" i="2"/>
  <c r="E28" i="2"/>
  <c r="E27" i="2"/>
  <c r="E26" i="2"/>
  <c r="C29" i="2"/>
  <c r="B29" i="2"/>
  <c r="C28" i="2"/>
  <c r="B28" i="2"/>
  <c r="C27" i="2"/>
  <c r="B27" i="2"/>
  <c r="C26" i="2"/>
  <c r="B26" i="2"/>
  <c r="J3" i="2" s="1"/>
  <c r="C29" i="1"/>
  <c r="I6" i="1" s="1"/>
  <c r="C28" i="1"/>
  <c r="C27" i="1"/>
  <c r="C26" i="1"/>
  <c r="K28" i="1"/>
  <c r="F26" i="1" s="1"/>
  <c r="K31" i="1"/>
  <c r="F29" i="1" s="1"/>
  <c r="K30" i="1"/>
  <c r="F28" i="1" s="1"/>
  <c r="K29" i="1"/>
  <c r="I4" i="1" s="1"/>
  <c r="C8" i="2"/>
  <c r="B8" i="2"/>
  <c r="B15" i="1"/>
  <c r="B27" i="1" s="1"/>
  <c r="D27" i="1" s="1"/>
  <c r="B16" i="1"/>
  <c r="B28" i="1" s="1"/>
  <c r="B17" i="1"/>
  <c r="B29" i="1" s="1"/>
  <c r="J6" i="1" s="1"/>
  <c r="B14" i="1"/>
  <c r="B26" i="1" s="1"/>
  <c r="K28" i="2"/>
  <c r="K31" i="2"/>
  <c r="K30" i="2"/>
  <c r="K29" i="2"/>
  <c r="K1" i="2"/>
  <c r="J3" i="3"/>
  <c r="K31" i="3"/>
  <c r="K30" i="3"/>
  <c r="K29" i="3"/>
  <c r="J4" i="3" s="1"/>
  <c r="K28" i="3"/>
  <c r="J6" i="3"/>
  <c r="J5" i="3"/>
  <c r="K1" i="3"/>
  <c r="C22" i="3"/>
  <c r="D22" i="3" s="1"/>
  <c r="B22" i="3"/>
  <c r="C21" i="3"/>
  <c r="D21" i="3" s="1"/>
  <c r="B21" i="3"/>
  <c r="C20" i="3"/>
  <c r="D20" i="3" s="1"/>
  <c r="B20" i="3"/>
  <c r="C19" i="3"/>
  <c r="D19" i="3" s="1"/>
  <c r="B19" i="3"/>
  <c r="C8" i="1"/>
  <c r="B8" i="1"/>
  <c r="E8" i="1"/>
  <c r="F29" i="2" l="1"/>
  <c r="F27" i="2"/>
  <c r="F28" i="2"/>
  <c r="F27" i="1"/>
  <c r="D28" i="1"/>
  <c r="E28" i="1" s="1"/>
  <c r="I3" i="1"/>
  <c r="E27" i="1"/>
  <c r="J3" i="1"/>
  <c r="K3" i="1" s="1"/>
  <c r="D26" i="1"/>
  <c r="E26" i="1" s="1"/>
  <c r="D29" i="1"/>
  <c r="E29" i="1" s="1"/>
  <c r="F26" i="2"/>
  <c r="C31" i="2" s="1"/>
  <c r="I5" i="2"/>
  <c r="J4" i="1"/>
  <c r="K4" i="1" s="1"/>
  <c r="J5" i="1"/>
  <c r="K6" i="1"/>
  <c r="I5" i="1"/>
  <c r="J4" i="2"/>
  <c r="I6" i="2"/>
  <c r="J6" i="2"/>
  <c r="I4" i="2"/>
  <c r="J5" i="2"/>
  <c r="I3" i="2"/>
  <c r="K3" i="2" s="1"/>
  <c r="I3" i="3"/>
  <c r="K3" i="3" s="1"/>
  <c r="I5" i="3"/>
  <c r="K5" i="3" s="1"/>
  <c r="I6" i="3"/>
  <c r="K6" i="3" s="1"/>
  <c r="I4" i="3"/>
  <c r="K4" i="3" s="1"/>
  <c r="C31" i="1" l="1"/>
  <c r="K4" i="2"/>
  <c r="K5" i="2"/>
  <c r="K6" i="2"/>
  <c r="K5" i="1"/>
</calcChain>
</file>

<file path=xl/sharedStrings.xml><?xml version="1.0" encoding="utf-8"?>
<sst xmlns="http://schemas.openxmlformats.org/spreadsheetml/2006/main" count="204" uniqueCount="86">
  <si>
    <t>Visa Credit</t>
  </si>
  <si>
    <t>Visa Debit</t>
  </si>
  <si>
    <t>Master Card Credit</t>
  </si>
  <si>
    <t>Master Card Debit</t>
  </si>
  <si>
    <t>Quantities</t>
  </si>
  <si>
    <t>Amounts</t>
  </si>
  <si>
    <t>Total:</t>
  </si>
  <si>
    <t>Ideal average delay:</t>
  </si>
  <si>
    <t>milliseconds per transaction at the terminal</t>
  </si>
  <si>
    <t>Expected results from a hypothetical test execution without errors and with ideal delay</t>
  </si>
  <si>
    <t>Injected transactions</t>
  </si>
  <si>
    <t>Totals in database</t>
  </si>
  <si>
    <t>APPROVED_DEBIT_MC_TXN_QTY</t>
  </si>
  <si>
    <t>INJECTED_APPROVED_DEBIT_MC_TXN_QTY</t>
  </si>
  <si>
    <t>INJECTED_APPROVED_DEBIT_VISA_TXN_QTY</t>
  </si>
  <si>
    <t>APPROVED_DEBIT_VISA_TXN_QTY</t>
  </si>
  <si>
    <t>SUM_APPROVED_DEBIT_VISA_TXN_VALUE</t>
  </si>
  <si>
    <t>INJECTED_SUM_APPROVED_DEBIT_VISA_TXN_VALUE</t>
  </si>
  <si>
    <t>INJECTED_SUM_APPROVED_DEBIT_MC_TXN_VALUE</t>
  </si>
  <si>
    <t>SUM_APPROVED_DEBIT_MC_TXN_VALUE</t>
  </si>
  <si>
    <t>SUM_APPROVED_CREDIT_MC_TXN_VALUE</t>
  </si>
  <si>
    <t>APPROVED_CREDIT_MC_TXN_QTY</t>
  </si>
  <si>
    <t>INJECTED_SUM_APPROVED_CREDIT_MC_TXN_VALUE</t>
  </si>
  <si>
    <t>INJECTED_APPROVED_CREDIT_MC_TXN_QTY</t>
  </si>
  <si>
    <t>SUM_APPROVED_CREDIT_VISA_TXN_VALUE</t>
  </si>
  <si>
    <t>APPROVED_CREDIT_VISA_TXN_QTY</t>
  </si>
  <si>
    <t>INJECTED_SUM_APPROVED_CREDIT_VISA_TXN_VALUE</t>
  </si>
  <si>
    <t>INJECTED_APPROVED_CREDIT_VISA_TXN_QTY</t>
  </si>
  <si>
    <t>Average response time:</t>
  </si>
  <si>
    <t>averageResponseTimeMillis</t>
  </si>
  <si>
    <t>Test case results</t>
  </si>
  <si>
    <t>CASE_NAME</t>
  </si>
  <si>
    <t>1 dba</t>
  </si>
  <si>
    <t>Results from terminals simulators</t>
  </si>
  <si>
    <t>Processed</t>
  </si>
  <si>
    <t>Failed</t>
  </si>
  <si>
    <t>Not Replied</t>
  </si>
  <si>
    <t>Late Response</t>
  </si>
  <si>
    <t>TERM_PROC_VISA_CREDIT</t>
  </si>
  <si>
    <t>TERM_PROC_VISA_DEBIT</t>
  </si>
  <si>
    <t>TERM_PROC_MC_CREDIT</t>
  </si>
  <si>
    <t>TERM_PROC_MC_DEBIT</t>
  </si>
  <si>
    <t>TERM_FAILED_VISA_CREDIT</t>
  </si>
  <si>
    <t>TERM_FAILED_VISA_DEBIT</t>
  </si>
  <si>
    <t>TERM_FAILED_MC_CREDIT</t>
  </si>
  <si>
    <t>TERM_FAILED_MC_DEBIT</t>
  </si>
  <si>
    <t>TERM_NREPLIED_VISA_CREDIT</t>
  </si>
  <si>
    <t>TERM_NREPLIED_VISA_DEBIT</t>
  </si>
  <si>
    <t>TERM_NREPLIED_MC_CREDIT</t>
  </si>
  <si>
    <t>TERM_NREPLIED_MC_DEBIT</t>
  </si>
  <si>
    <t>TERM_LR_VISA_CREDIT</t>
  </si>
  <si>
    <t>TERM_LR_VISA_DEBIT</t>
  </si>
  <si>
    <t>TERM_LR_MC_CREDIT</t>
  </si>
  <si>
    <t>TERM_LR_MC_DEBIT</t>
  </si>
  <si>
    <t>Receivables</t>
  </si>
  <si>
    <t>Expected</t>
  </si>
  <si>
    <t>Difference</t>
  </si>
  <si>
    <t>Fees calculation</t>
  </si>
  <si>
    <t>U.K. Payment Cards market fees</t>
  </si>
  <si>
    <t xml:space="preserve">Merchant Service Charge </t>
  </si>
  <si>
    <t>Source: https://www.psr.org.uk/media/p1tlg0iw/psr-card-acquiring-market-review-final-report-november-2021.pdf</t>
  </si>
  <si>
    <t>Master Card</t>
  </si>
  <si>
    <t>Visa</t>
  </si>
  <si>
    <t>Interchange Fee Rates (IFR)</t>
  </si>
  <si>
    <t>Debit Transactions</t>
  </si>
  <si>
    <t>Credit Transactions</t>
  </si>
  <si>
    <t>Card Scheme Fee Rates</t>
  </si>
  <si>
    <t>Acquirer fees</t>
  </si>
  <si>
    <t>Actual</t>
  </si>
  <si>
    <t>Loses</t>
  </si>
  <si>
    <t>Economic Impact</t>
  </si>
  <si>
    <t>Total Economic Impact:</t>
  </si>
  <si>
    <t>Missing Transactions in Capture Table</t>
  </si>
  <si>
    <t>MISSING_PROC_VISA_CREDIT</t>
  </si>
  <si>
    <t>MISSING_PROC_VISA_DEBIT</t>
  </si>
  <si>
    <t>MISSING_PROC_MC_CREDIT</t>
  </si>
  <si>
    <t>MISSING_PROC_MC_DEBIT</t>
  </si>
  <si>
    <t>Injected Transactions (obtained from database)</t>
  </si>
  <si>
    <t>Injected transactions (obtained from database)</t>
  </si>
  <si>
    <t>Receivables = Processed - Missing</t>
  </si>
  <si>
    <t>Missing Txn. Economic Impact</t>
  </si>
  <si>
    <t>Acquirer Fees = Merchant Service Charge - Card Scheme Fees - Interchange Fees</t>
  </si>
  <si>
    <t>Total Economic Impact = Missing Txn. Economic Impact + Difference in Receivables Economic Impact</t>
  </si>
  <si>
    <t>Missing Txn. Economic Impact = - Missing Txn. * (1 - Acquirer Fees)</t>
  </si>
  <si>
    <t>Avg. response time:</t>
  </si>
  <si>
    <t>Source: https://www.psr.org.uk/media/y4qhglmn/ifr-guidance-annex-1-sept-2021-clean.pdf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</si>
</sst>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/>
    <xf numFmtId="164" fontId="1" fillId="0" borderId="0" xfId="0" applyNumberFormat="1" applyFont="1"/>
    <xf numFmtId="164" fontId="5" fillId="0" borderId="0" xfId="0" applyNumberFormat="1" applyFont="1"/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164" fontId="1" fillId="0" borderId="3" xfId="0" applyNumberFormat="1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3" fillId="0" borderId="4" xfId="0" applyFont="1" applyBorder="1"/>
    <xf numFmtId="0" fontId="5" fillId="0" borderId="4" xfId="0" applyFont="1" applyBorder="1"/>
    <xf numFmtId="0" fontId="1" fillId="0" borderId="5" xfId="0" applyFont="1" applyBorder="1"/>
    <xf numFmtId="0" fontId="7" fillId="0" borderId="0" xfId="0" applyFont="1"/>
    <xf numFmtId="0" fontId="6" fillId="0" borderId="0" xfId="0" applyFont="1"/>
    <xf numFmtId="0" fontId="3" fillId="0" borderId="0" xfId="0" applyFont="1"/>
    <xf numFmtId="0" fontId="4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3" fontId="5" fillId="0" borderId="3" xfId="0" applyNumberFormat="1" applyFont="1" applyBorder="1"/>
    <xf numFmtId="0" fontId="5" fillId="0" borderId="0" xfId="0" applyFont="1" applyAlignment="1">
      <alignment horizontal="center" vertical="center"/>
    </xf>
    <xf numFmtId="164" fontId="4" fillId="0" borderId="0" xfId="0" applyNumberFormat="1" applyFont="1"/>
    <xf numFmtId="0" fontId="3" fillId="0" borderId="5" xfId="0" applyFont="1" applyBorder="1"/>
    <xf numFmtId="164" fontId="1" fillId="0" borderId="1" xfId="0" applyNumberFormat="1" applyFont="1" applyBorder="1"/>
    <xf numFmtId="164" fontId="4" fillId="0" borderId="3" xfId="0" applyNumberFormat="1" applyFont="1" applyBorder="1"/>
    <xf numFmtId="0" fontId="5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0" fontId="4" fillId="0" borderId="3" xfId="0" applyNumberFormat="1" applyFont="1" applyBorder="1"/>
    <xf numFmtId="10" fontId="4" fillId="0" borderId="0" xfId="0" applyNumberFormat="1" applyFont="1"/>
    <xf numFmtId="10" fontId="4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10" fontId="4" fillId="0" borderId="2" xfId="0" applyNumberFormat="1" applyFont="1" applyBorder="1"/>
    <xf numFmtId="0" fontId="2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3" xfId="0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3" fontId="5" fillId="0" borderId="0" xfId="0" applyNumberFormat="1" applyFont="1"/>
    <xf numFmtId="0" fontId="5" fillId="0" borderId="0" xfId="0" applyFont="1"/>
    <xf numFmtId="0" fontId="2" fillId="0" borderId="0" xfId="0" applyFont="1"/>
    <xf numFmtId="0" fontId="1" fillId="0" borderId="6" xfId="0" applyFont="1" applyBorder="1"/>
    <xf numFmtId="164" fontId="8" fillId="0" borderId="1" xfId="0" applyNumberFormat="1" applyFont="1" applyBorder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5" fillId="0" borderId="3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BBC6-D541-40DB-BBE9-153E93BA51E3}">
  <dimension ref="A1:M31"/>
  <sheetViews>
    <sheetView tabSelected="1" workbookViewId="0">
      <selection activeCell="F1" sqref="F1"/>
    </sheetView>
  </sheetViews>
  <sheetFormatPr defaultRowHeight="12.75" x14ac:dyDescent="0.2"/>
  <cols>
    <col min="1" max="1" width="19.28515625" style="1" customWidth="1"/>
    <col min="2" max="2" width="16.28515625" style="1" customWidth="1"/>
    <col min="3" max="3" width="18.7109375" style="1" customWidth="1"/>
    <col min="4" max="4" width="16.7109375" style="1" customWidth="1"/>
    <col min="5" max="5" width="17.5703125" style="1" customWidth="1"/>
    <col min="6" max="6" width="16.140625" style="1" customWidth="1"/>
    <col min="7" max="8" width="9.140625" style="1"/>
    <col min="9" max="9" width="12.140625" style="1" customWidth="1"/>
    <col min="10" max="11" width="13.42578125" style="1" bestFit="1" customWidth="1"/>
    <col min="12" max="12" width="10.85546875" style="1" bestFit="1" customWidth="1"/>
    <col min="13" max="16384" width="9.140625" style="1"/>
  </cols>
  <sheetData>
    <row r="1" spans="1:12" ht="14.25" x14ac:dyDescent="0.2">
      <c r="A1" s="19" t="s">
        <v>30</v>
      </c>
      <c r="B1" s="20" t="s">
        <v>31</v>
      </c>
      <c r="C1" s="20"/>
      <c r="D1" s="20"/>
      <c r="E1" s="21"/>
      <c r="F1" s="16"/>
      <c r="I1" s="42" t="s">
        <v>57</v>
      </c>
      <c r="J1" s="43"/>
      <c r="K1" s="44" t="str">
        <f>B1</f>
        <v>CASE_NAME</v>
      </c>
    </row>
    <row r="2" spans="1:12" x14ac:dyDescent="0.2">
      <c r="A2" s="55" t="s">
        <v>78</v>
      </c>
      <c r="B2" s="56"/>
      <c r="C2" s="57"/>
      <c r="D2" s="56" t="s">
        <v>11</v>
      </c>
      <c r="E2" s="57"/>
      <c r="I2" s="37" t="s">
        <v>55</v>
      </c>
      <c r="J2" s="23" t="s">
        <v>68</v>
      </c>
      <c r="K2" s="38" t="s">
        <v>69</v>
      </c>
    </row>
    <row r="3" spans="1:12" x14ac:dyDescent="0.2">
      <c r="A3" s="11"/>
      <c r="B3" s="2" t="s">
        <v>4</v>
      </c>
      <c r="C3" s="7" t="s">
        <v>5</v>
      </c>
      <c r="D3" s="2" t="s">
        <v>4</v>
      </c>
      <c r="E3" s="7" t="s">
        <v>5</v>
      </c>
      <c r="I3" s="39">
        <f>C26*K28</f>
        <v>74895.404248000006</v>
      </c>
      <c r="J3" s="4">
        <f>B26*K28</f>
        <v>-621634.53240000014</v>
      </c>
      <c r="K3" s="8">
        <f>J3-I3</f>
        <v>-696529.93664800015</v>
      </c>
    </row>
    <row r="4" spans="1:12" x14ac:dyDescent="0.2">
      <c r="A4" s="12" t="s">
        <v>0</v>
      </c>
      <c r="B4" s="3">
        <v>11124000</v>
      </c>
      <c r="C4" s="8">
        <v>11134000</v>
      </c>
      <c r="D4" s="3">
        <v>11154000</v>
      </c>
      <c r="E4" s="8">
        <v>11164000</v>
      </c>
      <c r="I4" s="39">
        <f>C27*K29</f>
        <v>274638.03330800001</v>
      </c>
      <c r="J4" s="4">
        <f>B27*K29</f>
        <v>-843646.86540000013</v>
      </c>
      <c r="K4" s="8">
        <f t="shared" ref="K4:K6" si="0">J4-I4</f>
        <v>-1118284.8987080001</v>
      </c>
    </row>
    <row r="5" spans="1:12" x14ac:dyDescent="0.2">
      <c r="A5" s="12" t="s">
        <v>1</v>
      </c>
      <c r="B5" s="3">
        <v>11125000</v>
      </c>
      <c r="C5" s="8">
        <v>11135000</v>
      </c>
      <c r="D5" s="3">
        <v>11155000</v>
      </c>
      <c r="E5" s="8">
        <v>11165000</v>
      </c>
      <c r="I5" s="39">
        <f>C28*K30</f>
        <v>10823.763444</v>
      </c>
      <c r="J5" s="4">
        <f>B28*K30</f>
        <v>-577232.06579999998</v>
      </c>
      <c r="K5" s="8">
        <f t="shared" si="0"/>
        <v>-588055.82924400002</v>
      </c>
    </row>
    <row r="6" spans="1:12" x14ac:dyDescent="0.2">
      <c r="A6" s="12" t="s">
        <v>2</v>
      </c>
      <c r="B6" s="3">
        <v>11126000</v>
      </c>
      <c r="C6" s="8">
        <v>11136000</v>
      </c>
      <c r="D6" s="3">
        <v>11156000</v>
      </c>
      <c r="E6" s="8">
        <v>11166000</v>
      </c>
      <c r="I6" s="40">
        <f>C29*K31</f>
        <v>42910.477992</v>
      </c>
      <c r="J6" s="26">
        <f>B29*K31</f>
        <v>-799244.39879999997</v>
      </c>
      <c r="K6" s="41">
        <f t="shared" si="0"/>
        <v>-842154.87679199991</v>
      </c>
    </row>
    <row r="7" spans="1:12" x14ac:dyDescent="0.2">
      <c r="A7" s="12" t="s">
        <v>3</v>
      </c>
      <c r="B7" s="3">
        <v>11127000</v>
      </c>
      <c r="C7" s="8">
        <v>11137000</v>
      </c>
      <c r="D7" s="3">
        <v>11157000</v>
      </c>
      <c r="E7" s="8">
        <v>11167000</v>
      </c>
    </row>
    <row r="8" spans="1:12" x14ac:dyDescent="0.2">
      <c r="A8" s="13" t="s">
        <v>6</v>
      </c>
      <c r="B8" s="46">
        <f>SUM(B4:B7)</f>
        <v>44502000</v>
      </c>
      <c r="C8" s="54">
        <f>SUM(C4:C7)</f>
        <v>44542000</v>
      </c>
      <c r="D8" s="46">
        <f>SUM(D4:D7)</f>
        <v>44622000</v>
      </c>
      <c r="E8" s="54">
        <f>SUM(E4:E7)</f>
        <v>44662000</v>
      </c>
    </row>
    <row r="9" spans="1:12" x14ac:dyDescent="0.2">
      <c r="A9" s="13"/>
      <c r="B9" s="46"/>
      <c r="C9" s="5"/>
      <c r="E9" s="22"/>
      <c r="F9" s="5"/>
    </row>
    <row r="10" spans="1:12" x14ac:dyDescent="0.2">
      <c r="A10" s="11" t="s">
        <v>84</v>
      </c>
      <c r="B10" s="47">
        <v>11129000</v>
      </c>
      <c r="C10" s="58" t="s">
        <v>8</v>
      </c>
      <c r="D10" s="58"/>
      <c r="E10" s="59"/>
    </row>
    <row r="11" spans="1:12" x14ac:dyDescent="0.2">
      <c r="A11" s="11"/>
      <c r="B11" s="18"/>
      <c r="E11" s="9"/>
      <c r="I11" s="28" t="s">
        <v>58</v>
      </c>
      <c r="J11" s="29"/>
      <c r="K11" s="29"/>
      <c r="L11" s="11"/>
    </row>
    <row r="12" spans="1:12" x14ac:dyDescent="0.2">
      <c r="A12" s="55" t="s">
        <v>33</v>
      </c>
      <c r="B12" s="56"/>
      <c r="C12" s="56"/>
      <c r="E12" s="9"/>
      <c r="I12" s="11" t="s">
        <v>59</v>
      </c>
      <c r="K12" s="32">
        <v>6.0000000000000001E-3</v>
      </c>
      <c r="L12" s="11"/>
    </row>
    <row r="13" spans="1:12" x14ac:dyDescent="0.2">
      <c r="A13" s="11"/>
      <c r="B13" s="2" t="s">
        <v>34</v>
      </c>
      <c r="C13" s="2" t="s">
        <v>35</v>
      </c>
      <c r="D13" s="2" t="s">
        <v>36</v>
      </c>
      <c r="E13" s="7" t="s">
        <v>37</v>
      </c>
      <c r="I13" s="11"/>
      <c r="L13" s="11"/>
    </row>
    <row r="14" spans="1:12" x14ac:dyDescent="0.2">
      <c r="A14" s="12" t="s">
        <v>0</v>
      </c>
      <c r="B14" s="4">
        <v>111213000</v>
      </c>
      <c r="C14" s="4">
        <v>111313000</v>
      </c>
      <c r="D14" s="4">
        <v>111413000</v>
      </c>
      <c r="E14" s="8">
        <v>111513000</v>
      </c>
      <c r="I14" s="36" t="s">
        <v>66</v>
      </c>
      <c r="K14" s="9"/>
    </row>
    <row r="15" spans="1:12" x14ac:dyDescent="0.2">
      <c r="A15" s="12" t="s">
        <v>1</v>
      </c>
      <c r="B15" s="4">
        <v>111214000</v>
      </c>
      <c r="C15" s="4">
        <v>111314000</v>
      </c>
      <c r="D15" s="4">
        <v>111414000</v>
      </c>
      <c r="E15" s="8">
        <v>111514000</v>
      </c>
      <c r="I15" s="11" t="s">
        <v>61</v>
      </c>
      <c r="K15" s="32">
        <v>4.0000000000000002E-4</v>
      </c>
      <c r="L15" s="11"/>
    </row>
    <row r="16" spans="1:12" x14ac:dyDescent="0.2">
      <c r="A16" s="12" t="s">
        <v>2</v>
      </c>
      <c r="B16" s="4">
        <v>111215000</v>
      </c>
      <c r="C16" s="4">
        <v>111315000</v>
      </c>
      <c r="D16" s="4">
        <v>111415000</v>
      </c>
      <c r="E16" s="8">
        <v>111515000</v>
      </c>
      <c r="I16" s="11" t="s">
        <v>62</v>
      </c>
      <c r="K16" s="32">
        <v>2.0000000000000001E-4</v>
      </c>
      <c r="L16" s="11"/>
    </row>
    <row r="17" spans="1:13" x14ac:dyDescent="0.2">
      <c r="A17" s="12" t="s">
        <v>3</v>
      </c>
      <c r="B17" s="4">
        <v>111216000</v>
      </c>
      <c r="C17" s="4">
        <v>111316000</v>
      </c>
      <c r="D17" s="4">
        <v>111416000</v>
      </c>
      <c r="E17" s="8">
        <v>111516000</v>
      </c>
      <c r="I17" s="11"/>
      <c r="L17" s="11"/>
    </row>
    <row r="18" spans="1:13" x14ac:dyDescent="0.2">
      <c r="A18" s="11"/>
      <c r="E18" s="9"/>
      <c r="I18" s="36" t="s">
        <v>63</v>
      </c>
      <c r="L18" s="11"/>
      <c r="M18" s="1" t="s">
        <v>85</v>
      </c>
    </row>
    <row r="19" spans="1:13" ht="15.75" customHeight="1" x14ac:dyDescent="0.2">
      <c r="A19" s="60" t="s">
        <v>72</v>
      </c>
      <c r="B19" s="61"/>
      <c r="C19" s="61"/>
      <c r="E19" s="9"/>
      <c r="I19" s="11" t="s">
        <v>64</v>
      </c>
      <c r="K19" s="32">
        <v>2E-3</v>
      </c>
      <c r="L19" s="11"/>
    </row>
    <row r="20" spans="1:13" x14ac:dyDescent="0.2">
      <c r="A20" s="12" t="s">
        <v>0</v>
      </c>
      <c r="B20" s="4">
        <v>333225333</v>
      </c>
      <c r="E20" s="9"/>
      <c r="I20" s="14" t="s">
        <v>65</v>
      </c>
      <c r="J20" s="6"/>
      <c r="K20" s="33">
        <v>3.0000000000000001E-3</v>
      </c>
      <c r="L20" s="11"/>
    </row>
    <row r="21" spans="1:13" x14ac:dyDescent="0.2">
      <c r="A21" s="12" t="s">
        <v>1</v>
      </c>
      <c r="B21" s="4">
        <v>333226333</v>
      </c>
      <c r="E21" s="9"/>
    </row>
    <row r="22" spans="1:13" x14ac:dyDescent="0.2">
      <c r="A22" s="12" t="s">
        <v>2</v>
      </c>
      <c r="B22" s="4">
        <v>333227333</v>
      </c>
      <c r="E22" s="9"/>
      <c r="I22" s="1" t="s">
        <v>60</v>
      </c>
    </row>
    <row r="23" spans="1:13" x14ac:dyDescent="0.2">
      <c r="A23" s="12" t="s">
        <v>3</v>
      </c>
      <c r="B23" s="4">
        <v>333228333</v>
      </c>
      <c r="E23" s="9"/>
    </row>
    <row r="24" spans="1:13" x14ac:dyDescent="0.2">
      <c r="A24" s="14"/>
      <c r="B24" s="6"/>
      <c r="C24" s="6"/>
      <c r="D24" s="6"/>
      <c r="E24" s="10"/>
    </row>
    <row r="25" spans="1:13" ht="28.5" customHeight="1" x14ac:dyDescent="0.2">
      <c r="A25" s="49"/>
      <c r="B25" s="51" t="s">
        <v>54</v>
      </c>
      <c r="C25" s="51" t="s">
        <v>55</v>
      </c>
      <c r="D25" s="51" t="s">
        <v>56</v>
      </c>
      <c r="E25" s="52" t="s">
        <v>80</v>
      </c>
      <c r="F25" s="53" t="s">
        <v>70</v>
      </c>
    </row>
    <row r="26" spans="1:13" x14ac:dyDescent="0.2">
      <c r="A26" s="12" t="s">
        <v>0</v>
      </c>
      <c r="B26" s="4">
        <f>B14-B20</f>
        <v>-222012333</v>
      </c>
      <c r="C26" s="4">
        <f>'Expected Results'!C4</f>
        <v>26748358.66</v>
      </c>
      <c r="D26" s="24">
        <f>-(C26-B26)</f>
        <v>-248760691.66</v>
      </c>
      <c r="E26" s="24">
        <f>-B20*(1-K28)</f>
        <v>-332292302.06760001</v>
      </c>
      <c r="F26" s="27">
        <f>D26*K28</f>
        <v>-696529.93664800015</v>
      </c>
      <c r="I26" s="28" t="s">
        <v>67</v>
      </c>
      <c r="J26" s="29"/>
      <c r="K26" s="30"/>
    </row>
    <row r="27" spans="1:13" x14ac:dyDescent="0.2">
      <c r="A27" s="12" t="s">
        <v>1</v>
      </c>
      <c r="B27" s="4">
        <f t="shared" ref="B27:B29" si="1">B15-B21</f>
        <v>-222012333</v>
      </c>
      <c r="C27" s="4">
        <f>'Expected Results'!C5</f>
        <v>72273166.659999996</v>
      </c>
      <c r="D27" s="24">
        <f t="shared" ref="D27:D29" si="2">-(C27-B27)</f>
        <v>-294285499.65999997</v>
      </c>
      <c r="E27" s="24">
        <f>-B21*(1-K29)</f>
        <v>-331960072.9346</v>
      </c>
      <c r="F27" s="27">
        <f>D27*K29</f>
        <v>-1118284.8987080001</v>
      </c>
      <c r="I27" s="11"/>
      <c r="K27" s="9"/>
    </row>
    <row r="28" spans="1:13" x14ac:dyDescent="0.2">
      <c r="A28" s="12" t="s">
        <v>2</v>
      </c>
      <c r="B28" s="4">
        <f t="shared" si="1"/>
        <v>-222012333</v>
      </c>
      <c r="C28" s="4">
        <f>'Expected Results'!C6</f>
        <v>4162985.94</v>
      </c>
      <c r="D28" s="24">
        <f t="shared" si="2"/>
        <v>-226175318.94</v>
      </c>
      <c r="E28" s="24">
        <f>-B22*(1-K30)</f>
        <v>-332360941.93419999</v>
      </c>
      <c r="F28" s="27">
        <f>D28*K30</f>
        <v>-588055.82924400002</v>
      </c>
      <c r="I28" s="12" t="s">
        <v>0</v>
      </c>
      <c r="K28" s="31">
        <f>K12-K16-K20</f>
        <v>2.8000000000000004E-3</v>
      </c>
    </row>
    <row r="29" spans="1:13" x14ac:dyDescent="0.2">
      <c r="A29" s="12" t="s">
        <v>3</v>
      </c>
      <c r="B29" s="4">
        <f t="shared" si="1"/>
        <v>-222012333</v>
      </c>
      <c r="C29" s="4">
        <f>'Expected Results'!C7</f>
        <v>11919577.220000001</v>
      </c>
      <c r="D29" s="24">
        <f t="shared" si="2"/>
        <v>-233931910.22</v>
      </c>
      <c r="E29" s="24">
        <f>-B23*(1-K31)</f>
        <v>-332028711.00119996</v>
      </c>
      <c r="F29" s="27">
        <f>D29*K31</f>
        <v>-842154.87679200002</v>
      </c>
      <c r="I29" s="12" t="s">
        <v>1</v>
      </c>
      <c r="K29" s="31">
        <f>K12-K16-K19</f>
        <v>3.8000000000000004E-3</v>
      </c>
    </row>
    <row r="30" spans="1:13" x14ac:dyDescent="0.2">
      <c r="A30" s="11"/>
      <c r="F30" s="9"/>
      <c r="I30" s="12" t="s">
        <v>2</v>
      </c>
      <c r="K30" s="31">
        <f>K12-K15-K20</f>
        <v>2.5999999999999999E-3</v>
      </c>
    </row>
    <row r="31" spans="1:13" ht="15" x14ac:dyDescent="0.25">
      <c r="A31" s="45" t="s">
        <v>71</v>
      </c>
      <c r="B31" s="6"/>
      <c r="C31" s="50">
        <f>SUM(F26:F29)+SUM(E26:E29)</f>
        <v>-1331887053.478992</v>
      </c>
      <c r="D31" s="6"/>
      <c r="E31" s="6"/>
      <c r="F31" s="10"/>
      <c r="I31" s="25" t="s">
        <v>3</v>
      </c>
      <c r="J31" s="6"/>
      <c r="K31" s="35">
        <f>K12-K15-K19</f>
        <v>3.5999999999999999E-3</v>
      </c>
    </row>
  </sheetData>
  <mergeCells count="5">
    <mergeCell ref="A2:C2"/>
    <mergeCell ref="A12:C12"/>
    <mergeCell ref="D2:E2"/>
    <mergeCell ref="C10:E10"/>
    <mergeCell ref="A19:C19"/>
  </mergeCells>
  <conditionalFormatting sqref="C31">
    <cfRule type="cellIs" dxfId="9" priority="4" operator="lessThan">
      <formula>0</formula>
    </cfRule>
  </conditionalFormatting>
  <conditionalFormatting sqref="E26:F29">
    <cfRule type="cellIs" dxfId="8" priority="5" operator="lessThan">
      <formula>0</formula>
    </cfRule>
  </conditionalFormatting>
  <conditionalFormatting sqref="K3:K6">
    <cfRule type="cellIs" dxfId="7" priority="7" operator="lessThan">
      <formula>0</formula>
    </cfRule>
  </conditionalFormatting>
  <conditionalFormatting sqref="E14:E17">
    <cfRule type="cellIs" dxfId="6" priority="3" operator="greaterThan">
      <formula>0</formula>
    </cfRule>
  </conditionalFormatting>
  <conditionalFormatting sqref="C14:D17">
    <cfRule type="cellIs" dxfId="1" priority="2" operator="greaterThan">
      <formula>0</formula>
    </cfRule>
  </conditionalFormatting>
  <conditionalFormatting sqref="B20:B2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M18" sqref="M18"/>
    </sheetView>
  </sheetViews>
  <sheetFormatPr defaultRowHeight="12.75" x14ac:dyDescent="0.2"/>
  <cols>
    <col min="1" max="1" width="17.5703125" style="1" bestFit="1" customWidth="1"/>
    <col min="2" max="2" width="16.42578125" style="1" bestFit="1" customWidth="1"/>
    <col min="3" max="3" width="18.85546875" style="1" customWidth="1"/>
    <col min="4" max="4" width="19" style="1" customWidth="1"/>
    <col min="5" max="5" width="16.28515625" style="1" customWidth="1"/>
    <col min="6" max="6" width="16.5703125" style="1" customWidth="1"/>
    <col min="7" max="8" width="9.140625" style="1"/>
    <col min="9" max="9" width="17.5703125" style="1" customWidth="1"/>
    <col min="10" max="11" width="13.85546875" style="1" bestFit="1" customWidth="1"/>
    <col min="12" max="16384" width="9.140625" style="1"/>
  </cols>
  <sheetData>
    <row r="1" spans="1:12" ht="14.25" x14ac:dyDescent="0.2">
      <c r="A1" s="62" t="s">
        <v>9</v>
      </c>
      <c r="B1" s="63"/>
      <c r="C1" s="63"/>
      <c r="D1" s="63"/>
      <c r="E1" s="64"/>
      <c r="F1" s="16"/>
      <c r="I1" s="42" t="s">
        <v>57</v>
      </c>
      <c r="J1" s="43"/>
      <c r="K1" s="44"/>
    </row>
    <row r="2" spans="1:12" ht="15" customHeight="1" x14ac:dyDescent="0.2">
      <c r="A2" s="55" t="s">
        <v>77</v>
      </c>
      <c r="B2" s="56"/>
      <c r="C2" s="57"/>
      <c r="D2" s="56" t="s">
        <v>11</v>
      </c>
      <c r="E2" s="57"/>
      <c r="I2" s="37" t="s">
        <v>55</v>
      </c>
      <c r="J2" s="23" t="s">
        <v>68</v>
      </c>
      <c r="K2" s="38" t="s">
        <v>69</v>
      </c>
    </row>
    <row r="3" spans="1:12" x14ac:dyDescent="0.2">
      <c r="A3" s="11"/>
      <c r="B3" s="2" t="s">
        <v>4</v>
      </c>
      <c r="C3" s="7" t="s">
        <v>5</v>
      </c>
      <c r="D3" s="2" t="s">
        <v>4</v>
      </c>
      <c r="E3" s="7" t="s">
        <v>5</v>
      </c>
      <c r="I3" s="39">
        <f>C26*K28</f>
        <v>74895.404248000006</v>
      </c>
      <c r="J3" s="4">
        <f>B26*K28</f>
        <v>74895.404248000006</v>
      </c>
      <c r="K3" s="8">
        <f>J3-I3</f>
        <v>0</v>
      </c>
    </row>
    <row r="4" spans="1:12" x14ac:dyDescent="0.2">
      <c r="A4" s="12" t="s">
        <v>0</v>
      </c>
      <c r="B4" s="3">
        <v>793520</v>
      </c>
      <c r="C4" s="8">
        <v>26748358.66</v>
      </c>
      <c r="D4" s="3">
        <f>22266453+B4</f>
        <v>23059973</v>
      </c>
      <c r="E4" s="8">
        <f>C4+751195257.66</f>
        <v>777943616.31999993</v>
      </c>
      <c r="I4" s="39">
        <f>C27*K29</f>
        <v>274638.03330800001</v>
      </c>
      <c r="J4" s="4">
        <f>B27*K29</f>
        <v>274638.03330800001</v>
      </c>
      <c r="K4" s="8">
        <f t="shared" ref="K4:K6" si="0">J4-I4</f>
        <v>0</v>
      </c>
    </row>
    <row r="5" spans="1:12" x14ac:dyDescent="0.2">
      <c r="A5" s="12" t="s">
        <v>1</v>
      </c>
      <c r="B5" s="3">
        <v>3169820</v>
      </c>
      <c r="C5" s="8">
        <v>72273166.659999996</v>
      </c>
      <c r="D5" s="3">
        <f>89100590+B5</f>
        <v>92270410</v>
      </c>
      <c r="E5" s="8">
        <f>C5+2030139253.45</f>
        <v>2102412420.1100001</v>
      </c>
      <c r="I5" s="39">
        <f>C28*K30</f>
        <v>10823.763444</v>
      </c>
      <c r="J5" s="4">
        <f>B28*K30</f>
        <v>10823.763444</v>
      </c>
      <c r="K5" s="8">
        <f t="shared" si="0"/>
        <v>0</v>
      </c>
    </row>
    <row r="6" spans="1:12" x14ac:dyDescent="0.2">
      <c r="A6" s="12" t="s">
        <v>2</v>
      </c>
      <c r="B6" s="3">
        <v>129010</v>
      </c>
      <c r="C6" s="8">
        <v>4162985.94</v>
      </c>
      <c r="D6" s="3">
        <f>3631651+B6</f>
        <v>3760661</v>
      </c>
      <c r="E6" s="8">
        <f>C6+117064465.71</f>
        <v>121227451.64999999</v>
      </c>
      <c r="I6" s="40">
        <f>C29*K31</f>
        <v>42910.477992</v>
      </c>
      <c r="J6" s="26">
        <f>B29*K31</f>
        <v>42910.477992</v>
      </c>
      <c r="K6" s="41">
        <f t="shared" si="0"/>
        <v>0</v>
      </c>
    </row>
    <row r="7" spans="1:12" x14ac:dyDescent="0.2">
      <c r="A7" s="12" t="s">
        <v>3</v>
      </c>
      <c r="B7" s="3">
        <v>517124</v>
      </c>
      <c r="C7" s="8">
        <v>11919577.220000001</v>
      </c>
      <c r="D7" s="3">
        <f>B7+14501271</f>
        <v>15018395</v>
      </c>
      <c r="E7" s="8">
        <f>C7+333943636.27</f>
        <v>345863213.49000001</v>
      </c>
    </row>
    <row r="8" spans="1:12" x14ac:dyDescent="0.2">
      <c r="A8" s="13" t="s">
        <v>6</v>
      </c>
      <c r="B8" s="46">
        <f>SUM(B4:B7)</f>
        <v>4609474</v>
      </c>
      <c r="C8" s="54">
        <f>SUM(C4:C7)</f>
        <v>115104088.47999999</v>
      </c>
      <c r="D8" s="46">
        <f>SUM(D4:D7)</f>
        <v>134109439</v>
      </c>
      <c r="E8" s="54">
        <f>SUM(E4:E7)</f>
        <v>3347446701.5700006</v>
      </c>
    </row>
    <row r="9" spans="1:12" x14ac:dyDescent="0.2">
      <c r="A9" s="11"/>
      <c r="E9" s="9"/>
    </row>
    <row r="10" spans="1:12" x14ac:dyDescent="0.2">
      <c r="A10" s="11" t="s">
        <v>7</v>
      </c>
      <c r="B10" s="18">
        <v>969.89</v>
      </c>
      <c r="C10" s="58" t="s">
        <v>8</v>
      </c>
      <c r="D10" s="58"/>
      <c r="E10" s="59"/>
    </row>
    <row r="11" spans="1:12" x14ac:dyDescent="0.2">
      <c r="A11" s="11"/>
      <c r="B11" s="18"/>
      <c r="E11" s="9"/>
      <c r="I11" s="28" t="s">
        <v>58</v>
      </c>
      <c r="J11" s="29"/>
      <c r="K11" s="29"/>
      <c r="L11" s="11"/>
    </row>
    <row r="12" spans="1:12" x14ac:dyDescent="0.2">
      <c r="A12" s="55" t="s">
        <v>33</v>
      </c>
      <c r="B12" s="56"/>
      <c r="C12" s="56"/>
      <c r="E12" s="9"/>
      <c r="I12" s="11" t="s">
        <v>59</v>
      </c>
      <c r="K12" s="32">
        <v>6.0000000000000001E-3</v>
      </c>
      <c r="L12" s="11"/>
    </row>
    <row r="13" spans="1:12" x14ac:dyDescent="0.2">
      <c r="A13" s="11"/>
      <c r="B13" s="2" t="s">
        <v>34</v>
      </c>
      <c r="C13" s="2" t="s">
        <v>35</v>
      </c>
      <c r="D13" s="2" t="s">
        <v>36</v>
      </c>
      <c r="E13" s="7" t="s">
        <v>37</v>
      </c>
      <c r="I13" s="11"/>
      <c r="L13" s="11"/>
    </row>
    <row r="14" spans="1:12" x14ac:dyDescent="0.2">
      <c r="A14" s="12" t="s">
        <v>0</v>
      </c>
      <c r="B14" s="4">
        <f>C4</f>
        <v>26748358.66</v>
      </c>
      <c r="C14" s="4">
        <v>0</v>
      </c>
      <c r="D14" s="4">
        <v>0</v>
      </c>
      <c r="E14" s="8">
        <v>0</v>
      </c>
      <c r="I14" s="36" t="s">
        <v>66</v>
      </c>
      <c r="K14" s="9"/>
    </row>
    <row r="15" spans="1:12" x14ac:dyDescent="0.2">
      <c r="A15" s="12" t="s">
        <v>1</v>
      </c>
      <c r="B15" s="4">
        <f>C5</f>
        <v>72273166.659999996</v>
      </c>
      <c r="C15" s="4">
        <v>0</v>
      </c>
      <c r="D15" s="4">
        <v>0</v>
      </c>
      <c r="E15" s="8">
        <v>0</v>
      </c>
      <c r="I15" s="11" t="s">
        <v>61</v>
      </c>
      <c r="K15" s="32">
        <v>4.0000000000000002E-4</v>
      </c>
      <c r="L15" s="11"/>
    </row>
    <row r="16" spans="1:12" x14ac:dyDescent="0.2">
      <c r="A16" s="12" t="s">
        <v>2</v>
      </c>
      <c r="B16" s="4">
        <f>C6</f>
        <v>4162985.94</v>
      </c>
      <c r="C16" s="4">
        <v>0</v>
      </c>
      <c r="D16" s="4">
        <v>0</v>
      </c>
      <c r="E16" s="8">
        <v>0</v>
      </c>
      <c r="I16" s="11" t="s">
        <v>62</v>
      </c>
      <c r="K16" s="32">
        <v>2.0000000000000001E-4</v>
      </c>
      <c r="L16" s="11"/>
    </row>
    <row r="17" spans="1:13" x14ac:dyDescent="0.2">
      <c r="A17" s="12" t="s">
        <v>3</v>
      </c>
      <c r="B17" s="4">
        <f>C7</f>
        <v>11919577.220000001</v>
      </c>
      <c r="C17" s="4">
        <v>0</v>
      </c>
      <c r="D17" s="4">
        <v>0</v>
      </c>
      <c r="E17" s="8">
        <v>0</v>
      </c>
      <c r="I17" s="11"/>
      <c r="L17" s="11"/>
    </row>
    <row r="18" spans="1:13" x14ac:dyDescent="0.2">
      <c r="A18" s="11"/>
      <c r="E18" s="9"/>
      <c r="I18" s="36" t="s">
        <v>63</v>
      </c>
      <c r="L18" s="11"/>
      <c r="M18" s="1" t="s">
        <v>85</v>
      </c>
    </row>
    <row r="19" spans="1:13" ht="28.5" customHeight="1" x14ac:dyDescent="0.2">
      <c r="A19" s="13" t="s">
        <v>72</v>
      </c>
      <c r="E19" s="9"/>
      <c r="I19" s="11" t="s">
        <v>64</v>
      </c>
      <c r="K19" s="32">
        <v>2E-3</v>
      </c>
      <c r="L19" s="11"/>
    </row>
    <row r="20" spans="1:13" x14ac:dyDescent="0.2">
      <c r="A20" s="12" t="s">
        <v>0</v>
      </c>
      <c r="B20" s="4">
        <v>0</v>
      </c>
      <c r="E20" s="9"/>
      <c r="I20" s="14" t="s">
        <v>65</v>
      </c>
      <c r="J20" s="6"/>
      <c r="K20" s="33">
        <v>3.0000000000000001E-3</v>
      </c>
      <c r="L20" s="11"/>
    </row>
    <row r="21" spans="1:13" x14ac:dyDescent="0.2">
      <c r="A21" s="12" t="s">
        <v>1</v>
      </c>
      <c r="B21" s="4">
        <v>0</v>
      </c>
      <c r="E21" s="9"/>
    </row>
    <row r="22" spans="1:13" x14ac:dyDescent="0.2">
      <c r="A22" s="12" t="s">
        <v>2</v>
      </c>
      <c r="B22" s="4">
        <v>0</v>
      </c>
      <c r="E22" s="9"/>
      <c r="I22" s="1" t="s">
        <v>60</v>
      </c>
    </row>
    <row r="23" spans="1:13" x14ac:dyDescent="0.2">
      <c r="A23" s="12" t="s">
        <v>3</v>
      </c>
      <c r="B23" s="4">
        <v>0</v>
      </c>
      <c r="E23" s="9"/>
    </row>
    <row r="24" spans="1:13" x14ac:dyDescent="0.2">
      <c r="A24" s="25"/>
      <c r="B24" s="26"/>
      <c r="C24" s="6"/>
      <c r="D24" s="6"/>
      <c r="E24" s="10"/>
    </row>
    <row r="25" spans="1:13" ht="27.75" customHeight="1" x14ac:dyDescent="0.2">
      <c r="A25" s="49"/>
      <c r="B25" s="51" t="s">
        <v>54</v>
      </c>
      <c r="C25" s="51" t="s">
        <v>55</v>
      </c>
      <c r="D25" s="51" t="s">
        <v>56</v>
      </c>
      <c r="E25" s="52" t="s">
        <v>70</v>
      </c>
      <c r="F25" s="53" t="s">
        <v>80</v>
      </c>
    </row>
    <row r="26" spans="1:13" x14ac:dyDescent="0.2">
      <c r="A26" s="12" t="s">
        <v>0</v>
      </c>
      <c r="B26" s="4">
        <f>B14-B20</f>
        <v>26748358.66</v>
      </c>
      <c r="C26" s="4">
        <f>'Expected Results'!C4</f>
        <v>26748358.66</v>
      </c>
      <c r="D26" s="24">
        <f>-(C26-B26)</f>
        <v>0</v>
      </c>
      <c r="E26" s="24">
        <f>D26*K28</f>
        <v>0</v>
      </c>
      <c r="F26" s="27">
        <f>-B20*(1-K28)</f>
        <v>0</v>
      </c>
      <c r="I26" s="28" t="s">
        <v>67</v>
      </c>
      <c r="J26" s="29"/>
      <c r="K26" s="30"/>
    </row>
    <row r="27" spans="1:13" x14ac:dyDescent="0.2">
      <c r="A27" s="12" t="s">
        <v>1</v>
      </c>
      <c r="B27" s="4">
        <f t="shared" ref="B27:B29" si="1">B15-B21</f>
        <v>72273166.659999996</v>
      </c>
      <c r="C27" s="4">
        <f>'Expected Results'!C5</f>
        <v>72273166.659999996</v>
      </c>
      <c r="D27" s="24">
        <f t="shared" ref="D27:D29" si="2">-(C27-B27)</f>
        <v>0</v>
      </c>
      <c r="E27" s="24">
        <f>D27*K29</f>
        <v>0</v>
      </c>
      <c r="F27" s="27">
        <f>-B21*(1-K29)</f>
        <v>0</v>
      </c>
      <c r="I27" s="11"/>
      <c r="K27" s="9"/>
    </row>
    <row r="28" spans="1:13" x14ac:dyDescent="0.2">
      <c r="A28" s="12" t="s">
        <v>2</v>
      </c>
      <c r="B28" s="4">
        <f t="shared" si="1"/>
        <v>4162985.94</v>
      </c>
      <c r="C28" s="4">
        <f>'Expected Results'!C6</f>
        <v>4162985.94</v>
      </c>
      <c r="D28" s="24">
        <f t="shared" si="2"/>
        <v>0</v>
      </c>
      <c r="E28" s="24">
        <f>D28*K30</f>
        <v>0</v>
      </c>
      <c r="F28" s="27">
        <f>-B22*(1-K30)</f>
        <v>0</v>
      </c>
      <c r="I28" s="12" t="s">
        <v>0</v>
      </c>
      <c r="K28" s="31">
        <f>K12-K16-K20</f>
        <v>2.8000000000000004E-3</v>
      </c>
    </row>
    <row r="29" spans="1:13" x14ac:dyDescent="0.2">
      <c r="A29" s="12" t="s">
        <v>3</v>
      </c>
      <c r="B29" s="4">
        <f t="shared" si="1"/>
        <v>11919577.220000001</v>
      </c>
      <c r="C29" s="4">
        <f>'Expected Results'!C7</f>
        <v>11919577.220000001</v>
      </c>
      <c r="D29" s="24">
        <f t="shared" si="2"/>
        <v>0</v>
      </c>
      <c r="E29" s="24">
        <f>D29*K31</f>
        <v>0</v>
      </c>
      <c r="F29" s="27">
        <f>-B23*(1-K31)</f>
        <v>0</v>
      </c>
      <c r="I29" s="12" t="s">
        <v>1</v>
      </c>
      <c r="K29" s="31">
        <f>K12-K16-K19</f>
        <v>3.8000000000000004E-3</v>
      </c>
    </row>
    <row r="30" spans="1:13" x14ac:dyDescent="0.2">
      <c r="A30" s="11"/>
      <c r="F30" s="9"/>
      <c r="I30" s="12" t="s">
        <v>2</v>
      </c>
      <c r="K30" s="31">
        <f>K12-K15-K20</f>
        <v>2.5999999999999999E-3</v>
      </c>
    </row>
    <row r="31" spans="1:13" ht="15" x14ac:dyDescent="0.25">
      <c r="A31" s="45" t="s">
        <v>71</v>
      </c>
      <c r="B31" s="6"/>
      <c r="C31" s="50">
        <f>SUM(E26:E29)+SUM(F26:F29)</f>
        <v>0</v>
      </c>
      <c r="D31" s="6"/>
      <c r="E31" s="6"/>
      <c r="F31" s="10"/>
      <c r="I31" s="25" t="s">
        <v>3</v>
      </c>
      <c r="J31" s="6"/>
      <c r="K31" s="35">
        <f>K12-K15-K19</f>
        <v>3.5999999999999999E-3</v>
      </c>
    </row>
    <row r="33" spans="1:1" x14ac:dyDescent="0.2">
      <c r="A33" s="48" t="s">
        <v>79</v>
      </c>
    </row>
    <row r="34" spans="1:1" x14ac:dyDescent="0.2">
      <c r="A34" s="48" t="s">
        <v>83</v>
      </c>
    </row>
    <row r="35" spans="1:1" x14ac:dyDescent="0.2">
      <c r="A35" s="48" t="s">
        <v>81</v>
      </c>
    </row>
    <row r="36" spans="1:1" x14ac:dyDescent="0.2">
      <c r="A36" s="48" t="s">
        <v>82</v>
      </c>
    </row>
  </sheetData>
  <mergeCells count="5">
    <mergeCell ref="A2:C2"/>
    <mergeCell ref="A12:C12"/>
    <mergeCell ref="A1:E1"/>
    <mergeCell ref="D2:E2"/>
    <mergeCell ref="C10:E10"/>
  </mergeCells>
  <conditionalFormatting sqref="C31">
    <cfRule type="cellIs" dxfId="13" priority="1" operator="lessThan">
      <formula>0</formula>
    </cfRule>
  </conditionalFormatting>
  <conditionalFormatting sqref="E26:F29">
    <cfRule type="cellIs" dxfId="12" priority="2" operator="lessThan">
      <formula>0</formula>
    </cfRule>
  </conditionalFormatting>
  <conditionalFormatting sqref="K3:K6">
    <cfRule type="cellIs" dxfId="11" priority="4" operator="lessThan">
      <formula>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BDCD-C45C-4148-80BE-8B755B8E7D4B}">
  <dimension ref="A1:L31"/>
  <sheetViews>
    <sheetView workbookViewId="0">
      <selection activeCell="I1" sqref="I1:K31"/>
    </sheetView>
  </sheetViews>
  <sheetFormatPr defaultRowHeight="12.75" x14ac:dyDescent="0.2"/>
  <cols>
    <col min="1" max="1" width="20.7109375" style="1" bestFit="1" customWidth="1"/>
    <col min="2" max="2" width="10.42578125" style="1" customWidth="1"/>
    <col min="3" max="3" width="13.85546875" style="1" bestFit="1" customWidth="1"/>
    <col min="4" max="4" width="13.85546875" style="1" customWidth="1"/>
    <col min="5" max="5" width="13.7109375" style="1" customWidth="1"/>
    <col min="6" max="6" width="11.5703125" style="1" customWidth="1"/>
    <col min="7" max="8" width="9.140625" style="1"/>
    <col min="9" max="9" width="12.85546875" style="1" customWidth="1"/>
    <col min="10" max="10" width="10" style="1" customWidth="1"/>
    <col min="11" max="11" width="13.5703125" style="1" customWidth="1"/>
    <col min="12" max="16384" width="9.140625" style="1"/>
  </cols>
  <sheetData>
    <row r="1" spans="1:12" ht="14.25" x14ac:dyDescent="0.2">
      <c r="A1" s="15" t="s">
        <v>30</v>
      </c>
      <c r="B1" s="1" t="s">
        <v>32</v>
      </c>
      <c r="I1" s="42" t="s">
        <v>57</v>
      </c>
      <c r="J1" s="43"/>
      <c r="K1" s="44" t="str">
        <f>B1</f>
        <v>1 dba</v>
      </c>
    </row>
    <row r="2" spans="1:12" x14ac:dyDescent="0.2">
      <c r="A2" s="65" t="s">
        <v>10</v>
      </c>
      <c r="B2" s="65"/>
      <c r="C2" s="65"/>
      <c r="D2" s="1" t="s">
        <v>11</v>
      </c>
      <c r="I2" s="37" t="s">
        <v>55</v>
      </c>
      <c r="J2" s="23" t="s">
        <v>68</v>
      </c>
      <c r="K2" s="38" t="s">
        <v>69</v>
      </c>
    </row>
    <row r="3" spans="1:12" x14ac:dyDescent="0.2">
      <c r="B3" s="2" t="s">
        <v>4</v>
      </c>
      <c r="C3" s="2" t="s">
        <v>5</v>
      </c>
      <c r="D3" s="2" t="s">
        <v>4</v>
      </c>
      <c r="E3" s="2" t="s">
        <v>5</v>
      </c>
      <c r="I3" s="39">
        <f>C19*K28</f>
        <v>74895.404248000006</v>
      </c>
      <c r="J3" s="4">
        <f>B19*K28</f>
        <v>4.7600000000000003E-2</v>
      </c>
      <c r="K3" s="8">
        <f>J3-I3</f>
        <v>-74895.356648000001</v>
      </c>
    </row>
    <row r="4" spans="1:12" x14ac:dyDescent="0.2">
      <c r="A4" s="12" t="s">
        <v>0</v>
      </c>
      <c r="B4" s="1">
        <v>1</v>
      </c>
      <c r="C4" s="4">
        <v>20</v>
      </c>
      <c r="D4" s="1">
        <v>4</v>
      </c>
      <c r="E4" s="4">
        <v>100</v>
      </c>
      <c r="I4" s="39">
        <f t="shared" ref="I4:I6" si="0">C20*K29</f>
        <v>274638.03330800001</v>
      </c>
      <c r="J4" s="4">
        <f t="shared" ref="J4:J6" si="1">B20*K29</f>
        <v>5.3200000000000004E-2</v>
      </c>
      <c r="K4" s="8">
        <f t="shared" ref="K4:K6" si="2">J4-I4</f>
        <v>-274637.98010799999</v>
      </c>
    </row>
    <row r="5" spans="1:12" x14ac:dyDescent="0.2">
      <c r="A5" s="12" t="s">
        <v>1</v>
      </c>
      <c r="B5" s="1">
        <v>2</v>
      </c>
      <c r="C5" s="4">
        <v>20</v>
      </c>
      <c r="D5" s="1">
        <v>5</v>
      </c>
      <c r="E5" s="4">
        <v>200</v>
      </c>
      <c r="I5" s="39">
        <f t="shared" si="0"/>
        <v>10823.763444</v>
      </c>
      <c r="J5" s="4">
        <f t="shared" si="1"/>
        <v>5.4599999999999996E-2</v>
      </c>
      <c r="K5" s="8">
        <f t="shared" si="2"/>
        <v>-10823.708844000001</v>
      </c>
    </row>
    <row r="6" spans="1:12" x14ac:dyDescent="0.2">
      <c r="A6" s="12" t="s">
        <v>2</v>
      </c>
      <c r="B6" s="1">
        <v>3</v>
      </c>
      <c r="C6" s="4">
        <v>30</v>
      </c>
      <c r="D6" s="1">
        <v>6</v>
      </c>
      <c r="E6" s="4">
        <v>300</v>
      </c>
      <c r="I6" s="40">
        <f t="shared" si="0"/>
        <v>42910.477992</v>
      </c>
      <c r="J6" s="26">
        <f t="shared" si="1"/>
        <v>0.1368</v>
      </c>
      <c r="K6" s="41">
        <f t="shared" si="2"/>
        <v>-42910.341192</v>
      </c>
    </row>
    <row r="7" spans="1:12" x14ac:dyDescent="0.2">
      <c r="A7" s="12" t="s">
        <v>3</v>
      </c>
      <c r="B7" s="1">
        <v>4</v>
      </c>
      <c r="C7" s="4">
        <v>50</v>
      </c>
      <c r="D7" s="1">
        <v>7</v>
      </c>
      <c r="E7" s="4">
        <v>400</v>
      </c>
    </row>
    <row r="9" spans="1:12" x14ac:dyDescent="0.2">
      <c r="A9" s="1" t="s">
        <v>28</v>
      </c>
      <c r="B9" s="1" t="s">
        <v>29</v>
      </c>
    </row>
    <row r="10" spans="1:12" x14ac:dyDescent="0.2">
      <c r="B10" s="18"/>
    </row>
    <row r="11" spans="1:12" x14ac:dyDescent="0.2">
      <c r="A11" s="56" t="s">
        <v>33</v>
      </c>
      <c r="B11" s="56"/>
      <c r="C11" s="56"/>
      <c r="I11" s="28" t="s">
        <v>58</v>
      </c>
      <c r="J11" s="29"/>
      <c r="K11" s="29"/>
      <c r="L11" s="11"/>
    </row>
    <row r="12" spans="1:12" x14ac:dyDescent="0.2">
      <c r="B12" s="2" t="s">
        <v>34</v>
      </c>
      <c r="C12" s="2" t="s">
        <v>35</v>
      </c>
      <c r="D12" s="2" t="s">
        <v>36</v>
      </c>
      <c r="E12" s="2" t="s">
        <v>37</v>
      </c>
      <c r="I12" s="11" t="s">
        <v>59</v>
      </c>
      <c r="K12" s="32">
        <v>6.0000000000000001E-3</v>
      </c>
      <c r="L12" s="11"/>
    </row>
    <row r="13" spans="1:12" x14ac:dyDescent="0.2">
      <c r="A13" s="17" t="s">
        <v>0</v>
      </c>
      <c r="B13" s="4">
        <v>10</v>
      </c>
      <c r="C13" s="4">
        <v>1</v>
      </c>
      <c r="D13" s="4">
        <v>1</v>
      </c>
      <c r="E13" s="4">
        <v>1</v>
      </c>
      <c r="I13" s="11"/>
      <c r="L13" s="11"/>
    </row>
    <row r="14" spans="1:12" x14ac:dyDescent="0.2">
      <c r="A14" s="17" t="s">
        <v>1</v>
      </c>
      <c r="B14" s="4">
        <v>20</v>
      </c>
      <c r="C14" s="4">
        <v>2</v>
      </c>
      <c r="D14" s="4">
        <v>2</v>
      </c>
      <c r="E14" s="4">
        <v>2</v>
      </c>
      <c r="I14" s="36" t="s">
        <v>66</v>
      </c>
      <c r="K14" s="9"/>
      <c r="L14" s="11"/>
    </row>
    <row r="15" spans="1:12" x14ac:dyDescent="0.2">
      <c r="A15" s="17" t="s">
        <v>2</v>
      </c>
      <c r="B15" s="4">
        <v>30</v>
      </c>
      <c r="C15" s="4">
        <v>3</v>
      </c>
      <c r="D15" s="4">
        <v>3</v>
      </c>
      <c r="E15" s="4">
        <v>3</v>
      </c>
      <c r="I15" s="11" t="s">
        <v>61</v>
      </c>
      <c r="K15" s="32">
        <v>4.0000000000000002E-4</v>
      </c>
      <c r="L15" s="11"/>
    </row>
    <row r="16" spans="1:12" x14ac:dyDescent="0.2">
      <c r="A16" s="17" t="s">
        <v>3</v>
      </c>
      <c r="B16" s="4">
        <v>50</v>
      </c>
      <c r="C16" s="4">
        <v>4</v>
      </c>
      <c r="D16" s="4">
        <v>4</v>
      </c>
      <c r="E16" s="4">
        <v>4</v>
      </c>
      <c r="I16" s="11" t="s">
        <v>62</v>
      </c>
      <c r="K16" s="32">
        <v>2.0000000000000001E-4</v>
      </c>
      <c r="L16" s="11"/>
    </row>
    <row r="17" spans="1:12" x14ac:dyDescent="0.2">
      <c r="I17" s="11"/>
      <c r="L17" s="11"/>
    </row>
    <row r="18" spans="1:12" x14ac:dyDescent="0.2">
      <c r="A18" s="11"/>
      <c r="B18" s="23" t="s">
        <v>54</v>
      </c>
      <c r="C18" s="23" t="s">
        <v>55</v>
      </c>
      <c r="D18" s="23" t="s">
        <v>56</v>
      </c>
      <c r="E18" s="34"/>
      <c r="I18" s="36" t="s">
        <v>63</v>
      </c>
      <c r="L18" s="11"/>
    </row>
    <row r="19" spans="1:12" x14ac:dyDescent="0.2">
      <c r="A19" s="12" t="s">
        <v>0</v>
      </c>
      <c r="B19" s="4">
        <f>C4-SUM(C13:E13)</f>
        <v>17</v>
      </c>
      <c r="C19" s="4">
        <f>'Expected Results'!C4</f>
        <v>26748358.66</v>
      </c>
      <c r="D19" s="24">
        <f>C19-B19</f>
        <v>26748341.66</v>
      </c>
      <c r="E19" s="24"/>
      <c r="I19" s="11" t="s">
        <v>64</v>
      </c>
      <c r="K19" s="32">
        <v>2E-3</v>
      </c>
      <c r="L19" s="11"/>
    </row>
    <row r="20" spans="1:12" x14ac:dyDescent="0.2">
      <c r="A20" s="12" t="s">
        <v>1</v>
      </c>
      <c r="B20" s="4">
        <f t="shared" ref="B20:B22" si="3">C5-SUM(C14:E14)</f>
        <v>14</v>
      </c>
      <c r="C20" s="4">
        <f>'Expected Results'!C5</f>
        <v>72273166.659999996</v>
      </c>
      <c r="D20" s="24">
        <f t="shared" ref="D20:D22" si="4">C20-B20</f>
        <v>72273152.659999996</v>
      </c>
      <c r="E20" s="24"/>
      <c r="I20" s="14" t="s">
        <v>65</v>
      </c>
      <c r="J20" s="6"/>
      <c r="K20" s="33">
        <v>3.0000000000000001E-3</v>
      </c>
      <c r="L20" s="11"/>
    </row>
    <row r="21" spans="1:12" x14ac:dyDescent="0.2">
      <c r="A21" s="12" t="s">
        <v>2</v>
      </c>
      <c r="B21" s="4">
        <f t="shared" si="3"/>
        <v>21</v>
      </c>
      <c r="C21" s="4">
        <f>'Expected Results'!C6</f>
        <v>4162985.94</v>
      </c>
      <c r="D21" s="24">
        <f t="shared" si="4"/>
        <v>4162964.94</v>
      </c>
      <c r="E21" s="24"/>
    </row>
    <row r="22" spans="1:12" x14ac:dyDescent="0.2">
      <c r="A22" s="17" t="s">
        <v>3</v>
      </c>
      <c r="B22" s="4">
        <f t="shared" si="3"/>
        <v>38</v>
      </c>
      <c r="C22" s="4">
        <f>'Expected Results'!C7</f>
        <v>11919577.220000001</v>
      </c>
      <c r="D22" s="24">
        <f t="shared" si="4"/>
        <v>11919539.220000001</v>
      </c>
      <c r="E22" s="24"/>
      <c r="I22" s="1" t="s">
        <v>60</v>
      </c>
    </row>
    <row r="23" spans="1:12" x14ac:dyDescent="0.2">
      <c r="A23" s="17"/>
      <c r="B23" s="4"/>
      <c r="C23" s="4"/>
    </row>
    <row r="26" spans="1:12" x14ac:dyDescent="0.2">
      <c r="I26" s="28" t="s">
        <v>67</v>
      </c>
      <c r="J26" s="29"/>
      <c r="K26" s="30"/>
    </row>
    <row r="27" spans="1:12" x14ac:dyDescent="0.2">
      <c r="I27" s="11"/>
      <c r="K27" s="9"/>
    </row>
    <row r="28" spans="1:12" x14ac:dyDescent="0.2">
      <c r="I28" s="12" t="s">
        <v>0</v>
      </c>
      <c r="K28" s="31">
        <f>K12-K16-K20</f>
        <v>2.8000000000000004E-3</v>
      </c>
    </row>
    <row r="29" spans="1:12" x14ac:dyDescent="0.2">
      <c r="I29" s="12" t="s">
        <v>1</v>
      </c>
      <c r="K29" s="31">
        <f>K12-K16-K19</f>
        <v>3.8000000000000004E-3</v>
      </c>
    </row>
    <row r="30" spans="1:12" x14ac:dyDescent="0.2">
      <c r="I30" s="12" t="s">
        <v>2</v>
      </c>
      <c r="K30" s="31">
        <f>K12-K15-K20</f>
        <v>2.5999999999999999E-3</v>
      </c>
    </row>
    <row r="31" spans="1:12" x14ac:dyDescent="0.2">
      <c r="I31" s="25" t="s">
        <v>3</v>
      </c>
      <c r="J31" s="6"/>
      <c r="K31" s="35">
        <f>K12-K15-K19</f>
        <v>3.5999999999999999E-3</v>
      </c>
    </row>
  </sheetData>
  <mergeCells count="2">
    <mergeCell ref="A2:C2"/>
    <mergeCell ref="A11:C11"/>
  </mergeCells>
  <conditionalFormatting sqref="K3:K6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EC1C-4835-421A-9C22-6104794C1EB5}">
  <dimension ref="B4:H28"/>
  <sheetViews>
    <sheetView workbookViewId="0">
      <selection activeCell="B29" sqref="B29"/>
    </sheetView>
  </sheetViews>
  <sheetFormatPr defaultRowHeight="15" x14ac:dyDescent="0.25"/>
  <sheetData>
    <row r="4" spans="2:8" x14ac:dyDescent="0.25">
      <c r="B4" s="3" t="s">
        <v>27</v>
      </c>
      <c r="C4" s="4" t="s">
        <v>26</v>
      </c>
      <c r="D4" s="1"/>
      <c r="E4" s="3" t="s">
        <v>25</v>
      </c>
      <c r="F4" s="4" t="s">
        <v>24</v>
      </c>
      <c r="G4" s="1"/>
      <c r="H4" s="1"/>
    </row>
    <row r="5" spans="2:8" x14ac:dyDescent="0.25">
      <c r="B5" s="3" t="s">
        <v>14</v>
      </c>
      <c r="C5" s="4" t="s">
        <v>17</v>
      </c>
      <c r="D5" s="1"/>
      <c r="E5" s="3" t="s">
        <v>15</v>
      </c>
      <c r="F5" s="4" t="s">
        <v>16</v>
      </c>
      <c r="G5" s="1"/>
      <c r="H5" s="1"/>
    </row>
    <row r="6" spans="2:8" x14ac:dyDescent="0.25">
      <c r="B6" s="3" t="s">
        <v>23</v>
      </c>
      <c r="C6" s="4" t="s">
        <v>22</v>
      </c>
      <c r="D6" s="1"/>
      <c r="E6" s="3" t="s">
        <v>21</v>
      </c>
      <c r="F6" s="4" t="s">
        <v>20</v>
      </c>
      <c r="G6" s="1"/>
      <c r="H6" s="1"/>
    </row>
    <row r="7" spans="2:8" x14ac:dyDescent="0.25">
      <c r="B7" s="3" t="s">
        <v>13</v>
      </c>
      <c r="C7" s="4" t="s">
        <v>18</v>
      </c>
      <c r="D7" s="1"/>
      <c r="E7" s="3" t="s">
        <v>12</v>
      </c>
      <c r="F7" s="4" t="s">
        <v>19</v>
      </c>
      <c r="G7" s="1"/>
      <c r="H7" s="1"/>
    </row>
    <row r="8" spans="2:8" x14ac:dyDescent="0.25">
      <c r="B8" s="1"/>
      <c r="C8" s="1"/>
      <c r="D8" s="1"/>
      <c r="E8" s="1"/>
      <c r="F8" s="1"/>
      <c r="G8" s="1"/>
      <c r="H8" s="1"/>
    </row>
    <row r="9" spans="2:8" x14ac:dyDescent="0.25">
      <c r="B9" s="1" t="s">
        <v>29</v>
      </c>
      <c r="C9" s="1"/>
      <c r="D9" s="1"/>
      <c r="E9" s="1"/>
      <c r="F9" s="1"/>
      <c r="G9" s="1"/>
      <c r="H9" s="1"/>
    </row>
    <row r="10" spans="2:8" x14ac:dyDescent="0.25">
      <c r="B10" s="1"/>
      <c r="C10" s="1"/>
      <c r="D10" s="1"/>
      <c r="E10" s="1"/>
      <c r="F10" s="1"/>
      <c r="G10" s="1"/>
      <c r="H10" s="1"/>
    </row>
    <row r="11" spans="2:8" x14ac:dyDescent="0.25">
      <c r="B11" s="1"/>
      <c r="C11" s="1"/>
      <c r="D11" s="1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4" t="s">
        <v>38</v>
      </c>
      <c r="C13" s="4" t="s">
        <v>42</v>
      </c>
      <c r="D13" s="4" t="s">
        <v>46</v>
      </c>
      <c r="E13" s="4" t="s">
        <v>50</v>
      </c>
      <c r="F13" s="1"/>
      <c r="G13" s="1"/>
      <c r="H13" s="1"/>
    </row>
    <row r="14" spans="2:8" x14ac:dyDescent="0.25">
      <c r="B14" s="4" t="s">
        <v>39</v>
      </c>
      <c r="C14" s="4" t="s">
        <v>43</v>
      </c>
      <c r="D14" s="4" t="s">
        <v>47</v>
      </c>
      <c r="E14" s="4" t="s">
        <v>51</v>
      </c>
      <c r="F14" s="1"/>
      <c r="G14" s="1"/>
      <c r="H14" s="1"/>
    </row>
    <row r="15" spans="2:8" x14ac:dyDescent="0.25">
      <c r="B15" s="4" t="s">
        <v>40</v>
      </c>
      <c r="C15" s="4" t="s">
        <v>44</v>
      </c>
      <c r="D15" s="4" t="s">
        <v>48</v>
      </c>
      <c r="E15" s="4" t="s">
        <v>52</v>
      </c>
      <c r="F15" s="1"/>
      <c r="G15" s="1"/>
      <c r="H15" s="1"/>
    </row>
    <row r="16" spans="2:8" x14ac:dyDescent="0.25">
      <c r="B16" s="4" t="s">
        <v>41</v>
      </c>
      <c r="C16" s="4" t="s">
        <v>45</v>
      </c>
      <c r="D16" s="4" t="s">
        <v>49</v>
      </c>
      <c r="E16" s="4" t="s">
        <v>53</v>
      </c>
      <c r="F16" s="1"/>
      <c r="G16" s="1"/>
      <c r="H16" s="1"/>
    </row>
    <row r="25" spans="2:2" x14ac:dyDescent="0.25">
      <c r="B25" s="4" t="s">
        <v>73</v>
      </c>
    </row>
    <row r="26" spans="2:2" x14ac:dyDescent="0.25">
      <c r="B26" s="4" t="s">
        <v>74</v>
      </c>
    </row>
    <row r="27" spans="2:2" x14ac:dyDescent="0.25">
      <c r="B27" s="4" t="s">
        <v>75</v>
      </c>
    </row>
    <row r="28" spans="2:2" x14ac:dyDescent="0.25">
      <c r="B28" s="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Results</vt:lpstr>
      <vt:lpstr>Expected Results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Penén</dc:creator>
  <cp:lastModifiedBy>Sergio Penén</cp:lastModifiedBy>
  <dcterms:created xsi:type="dcterms:W3CDTF">2015-06-05T18:17:20Z</dcterms:created>
  <dcterms:modified xsi:type="dcterms:W3CDTF">2023-04-02T17:02:28Z</dcterms:modified>
</cp:coreProperties>
</file>