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06_MY TEACHING RESOURCES\MBA-FINANCIAL MODELLING\FME_Topic_04_Cost of Capital\10_Cost of Capital\"/>
    </mc:Choice>
  </mc:AlternateContent>
  <xr:revisionPtr revIDLastSave="0" documentId="13_ncr:1_{0B052A18-C60D-4D24-B04A-5FDB736B61FA}" xr6:coauthVersionLast="47" xr6:coauthVersionMax="47" xr10:uidLastSave="{00000000-0000-0000-0000-000000000000}"/>
  <bookViews>
    <workbookView xWindow="-110" yWindow="-110" windowWidth="19420" windowHeight="10300" firstSheet="5" activeTab="7" xr2:uid="{C14D08DE-9C2A-498C-8B90-715697B1CC41}"/>
  </bookViews>
  <sheets>
    <sheet name="EcoGrid Renewables Ltd. (2)" sheetId="9" r:id="rId1"/>
    <sheet name="EcoGrid Renewables Ltd." sheetId="2" r:id="rId2"/>
    <sheet name="Akshara Textiles Ltd." sheetId="1" r:id="rId3"/>
    <sheet name="Zenith Pharmaceuticals Ltd" sheetId="3" r:id="rId4"/>
    <sheet name="Horizon Automotives  Ltd" sheetId="4" r:id="rId5"/>
    <sheet name="BlueWave Logistics Ltd." sheetId="5" r:id="rId6"/>
    <sheet name="Vista Agro Foods Ltd." sheetId="6" r:id="rId7"/>
    <sheet name="Nimbus Hospitality  Ltd.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9" l="1"/>
  <c r="F22" i="9"/>
  <c r="F20" i="9"/>
  <c r="E22" i="9"/>
  <c r="E21" i="9"/>
  <c r="E20" i="9"/>
  <c r="C22" i="9"/>
  <c r="C21" i="9"/>
  <c r="C20" i="9"/>
  <c r="D20" i="9" s="1"/>
  <c r="B22" i="9"/>
  <c r="D22" i="9" s="1"/>
  <c r="B21" i="9"/>
  <c r="D21" i="9" s="1"/>
  <c r="B20" i="9"/>
  <c r="H15" i="9"/>
  <c r="H14" i="9"/>
  <c r="E14" i="9"/>
  <c r="B14" i="9"/>
  <c r="B15" i="9" s="1"/>
  <c r="C20" i="2"/>
  <c r="B14" i="8"/>
  <c r="B15" i="8" s="1"/>
  <c r="B14" i="6"/>
  <c r="B15" i="6" s="1"/>
  <c r="B14" i="5"/>
  <c r="B15" i="5" s="1"/>
  <c r="B14" i="4"/>
  <c r="B15" i="4" s="1"/>
  <c r="H14" i="8"/>
  <c r="H14" i="6"/>
  <c r="H14" i="5"/>
  <c r="H14" i="4"/>
  <c r="H14" i="3"/>
  <c r="H14" i="1"/>
  <c r="B14" i="3"/>
  <c r="H15" i="2"/>
  <c r="H14" i="2"/>
  <c r="B14" i="2"/>
  <c r="B22" i="8"/>
  <c r="D22" i="8" s="1"/>
  <c r="D21" i="8"/>
  <c r="B21" i="8"/>
  <c r="C21" i="8" s="1"/>
  <c r="B20" i="8"/>
  <c r="D20" i="8" s="1"/>
  <c r="H15" i="8"/>
  <c r="E14" i="8"/>
  <c r="B22" i="6"/>
  <c r="D22" i="6" s="1"/>
  <c r="D21" i="6"/>
  <c r="B21" i="6"/>
  <c r="C21" i="6" s="1"/>
  <c r="B20" i="6"/>
  <c r="D20" i="6" s="1"/>
  <c r="H15" i="6"/>
  <c r="E14" i="6"/>
  <c r="B22" i="5"/>
  <c r="D22" i="5" s="1"/>
  <c r="B21" i="5"/>
  <c r="D21" i="5" s="1"/>
  <c r="B20" i="5"/>
  <c r="D20" i="5" s="1"/>
  <c r="H15" i="5"/>
  <c r="E14" i="5"/>
  <c r="B22" i="4"/>
  <c r="D22" i="4" s="1"/>
  <c r="B21" i="4"/>
  <c r="D21" i="4" s="1"/>
  <c r="B20" i="4"/>
  <c r="D20" i="4" s="1"/>
  <c r="H15" i="4"/>
  <c r="E14" i="4"/>
  <c r="C15" i="9"/>
  <c r="I15" i="9"/>
  <c r="I14" i="9"/>
  <c r="F14" i="9"/>
  <c r="C14" i="9"/>
  <c r="D23" i="9" l="1"/>
  <c r="C22" i="8"/>
  <c r="C22" i="6"/>
  <c r="C21" i="5"/>
  <c r="C22" i="5"/>
  <c r="C21" i="4"/>
  <c r="C22" i="4"/>
  <c r="D23" i="8"/>
  <c r="F21" i="8" s="1"/>
  <c r="C20" i="8"/>
  <c r="D23" i="6"/>
  <c r="F21" i="6" s="1"/>
  <c r="F20" i="6"/>
  <c r="C20" i="6"/>
  <c r="D23" i="5"/>
  <c r="F21" i="5" s="1"/>
  <c r="C20" i="5"/>
  <c r="D23" i="4"/>
  <c r="F21" i="4" s="1"/>
  <c r="C20" i="4"/>
  <c r="B22" i="3"/>
  <c r="C22" i="3" s="1"/>
  <c r="B21" i="3"/>
  <c r="D21" i="3" s="1"/>
  <c r="D20" i="3"/>
  <c r="B20" i="3"/>
  <c r="C20" i="3" s="1"/>
  <c r="H15" i="3"/>
  <c r="E14" i="3"/>
  <c r="B15" i="3"/>
  <c r="D22" i="2"/>
  <c r="C22" i="2"/>
  <c r="B22" i="2"/>
  <c r="D21" i="2"/>
  <c r="C21" i="2"/>
  <c r="B21" i="2"/>
  <c r="B20" i="2"/>
  <c r="D20" i="2" s="1"/>
  <c r="E14" i="2"/>
  <c r="B15" i="2"/>
  <c r="B22" i="1"/>
  <c r="C22" i="1" s="1"/>
  <c r="B21" i="1"/>
  <c r="D21" i="1" s="1"/>
  <c r="B20" i="1"/>
  <c r="D20" i="1" s="1"/>
  <c r="D22" i="1"/>
  <c r="B14" i="1"/>
  <c r="B15" i="1" s="1"/>
  <c r="C21" i="1"/>
  <c r="C20" i="1"/>
  <c r="H15" i="1"/>
  <c r="E14" i="1"/>
  <c r="C27" i="9" l="1"/>
  <c r="E27" i="9"/>
  <c r="F23" i="9"/>
  <c r="C23" i="9"/>
  <c r="C21" i="3"/>
  <c r="F22" i="8"/>
  <c r="F20" i="8"/>
  <c r="C27" i="8" s="1"/>
  <c r="F22" i="6"/>
  <c r="E27" i="6" s="1"/>
  <c r="F20" i="5"/>
  <c r="F20" i="4"/>
  <c r="C23" i="3"/>
  <c r="E20" i="3" s="1"/>
  <c r="C23" i="8"/>
  <c r="E20" i="8" s="1"/>
  <c r="C23" i="6"/>
  <c r="E20" i="6" s="1"/>
  <c r="C23" i="5"/>
  <c r="F22" i="5"/>
  <c r="C23" i="4"/>
  <c r="F22" i="4"/>
  <c r="E21" i="3"/>
  <c r="D22" i="3"/>
  <c r="D23" i="2"/>
  <c r="F21" i="2" s="1"/>
  <c r="D23" i="1"/>
  <c r="F22" i="1" s="1"/>
  <c r="F21" i="1"/>
  <c r="C23" i="1"/>
  <c r="E22" i="1" s="1"/>
  <c r="E22" i="3" l="1"/>
  <c r="D27" i="3" s="1"/>
  <c r="C27" i="4"/>
  <c r="E27" i="4"/>
  <c r="F23" i="8"/>
  <c r="E27" i="8"/>
  <c r="C27" i="6"/>
  <c r="F23" i="6"/>
  <c r="E27" i="5"/>
  <c r="C27" i="5"/>
  <c r="F20" i="2"/>
  <c r="E21" i="8"/>
  <c r="E22" i="8"/>
  <c r="E21" i="6"/>
  <c r="E22" i="6"/>
  <c r="E21" i="5"/>
  <c r="E22" i="5"/>
  <c r="F23" i="5"/>
  <c r="E20" i="5"/>
  <c r="E21" i="4"/>
  <c r="E22" i="4"/>
  <c r="F23" i="4"/>
  <c r="E20" i="4"/>
  <c r="B27" i="3"/>
  <c r="D23" i="3"/>
  <c r="C23" i="2"/>
  <c r="E20" i="2" s="1"/>
  <c r="F22" i="2"/>
  <c r="E27" i="2" s="1"/>
  <c r="E21" i="1"/>
  <c r="F20" i="1"/>
  <c r="F23" i="1" s="1"/>
  <c r="E20" i="1"/>
  <c r="E27" i="1"/>
  <c r="D27" i="9" l="1"/>
  <c r="E23" i="9"/>
  <c r="B27" i="9"/>
  <c r="E23" i="3"/>
  <c r="D27" i="8"/>
  <c r="D27" i="6"/>
  <c r="C27" i="2"/>
  <c r="B27" i="8"/>
  <c r="E23" i="8"/>
  <c r="B27" i="6"/>
  <c r="E23" i="6"/>
  <c r="B27" i="5"/>
  <c r="D27" i="5"/>
  <c r="E23" i="5"/>
  <c r="B27" i="4"/>
  <c r="D27" i="4"/>
  <c r="E23" i="4"/>
  <c r="F21" i="3"/>
  <c r="F20" i="3"/>
  <c r="F22" i="3"/>
  <c r="B27" i="2"/>
  <c r="F23" i="2"/>
  <c r="E21" i="2"/>
  <c r="E22" i="2"/>
  <c r="E23" i="2" s="1"/>
  <c r="C27" i="1"/>
  <c r="D27" i="1"/>
  <c r="E23" i="1"/>
  <c r="B27" i="1"/>
  <c r="D27" i="2" l="1"/>
  <c r="C27" i="3"/>
  <c r="E27" i="3"/>
  <c r="F23" i="3"/>
</calcChain>
</file>

<file path=xl/sharedStrings.xml><?xml version="1.0" encoding="utf-8"?>
<sst xmlns="http://schemas.openxmlformats.org/spreadsheetml/2006/main" count="410" uniqueCount="57">
  <si>
    <t>Settlement Date</t>
  </si>
  <si>
    <t>Coupon Rate</t>
  </si>
  <si>
    <t>Price</t>
  </si>
  <si>
    <t>Face Value</t>
  </si>
  <si>
    <t>Frequency</t>
  </si>
  <si>
    <t xml:space="preserve">Maturity Date of the Bond </t>
  </si>
  <si>
    <t>Flotation Costs</t>
  </si>
  <si>
    <t>After-tax Cost of Debt</t>
  </si>
  <si>
    <t>Redemption Premium</t>
  </si>
  <si>
    <t xml:space="preserve">Yield to Maturity for ₹100 face value </t>
  </si>
  <si>
    <t xml:space="preserve">Tax Rate </t>
  </si>
  <si>
    <t>Preference Shares</t>
  </si>
  <si>
    <t>Dividend</t>
  </si>
  <si>
    <t>Cost of Preferred Equity</t>
  </si>
  <si>
    <t xml:space="preserve">Bonds </t>
  </si>
  <si>
    <t>Company name :</t>
  </si>
  <si>
    <t>Equity Shares</t>
  </si>
  <si>
    <r>
      <t>Dividend (D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)</t>
    </r>
  </si>
  <si>
    <t>Growth Rate</t>
  </si>
  <si>
    <t>Beta</t>
  </si>
  <si>
    <t>Risk-free Rate</t>
  </si>
  <si>
    <t>Market Risk Premium</t>
  </si>
  <si>
    <t>Cost of Retained Earnings</t>
  </si>
  <si>
    <t>Cost of New Common Equity</t>
  </si>
  <si>
    <t>Source</t>
  </si>
  <si>
    <t>Quantity</t>
  </si>
  <si>
    <t>Book Value</t>
  </si>
  <si>
    <t>Market Value</t>
  </si>
  <si>
    <t>BV Weights</t>
  </si>
  <si>
    <t>MV Weights</t>
  </si>
  <si>
    <t>Common</t>
  </si>
  <si>
    <t>Preferred</t>
  </si>
  <si>
    <t>Debt</t>
  </si>
  <si>
    <t>Totals</t>
  </si>
  <si>
    <t xml:space="preserve">Face Value </t>
  </si>
  <si>
    <t xml:space="preserve">Market Price </t>
  </si>
  <si>
    <t>Weighted Average Cost of Capital</t>
  </si>
  <si>
    <t>Book Value Weights</t>
  </si>
  <si>
    <t>Market Value Weights</t>
  </si>
  <si>
    <t>With Retained Earnings</t>
  </si>
  <si>
    <t>With New Common Equity</t>
  </si>
  <si>
    <t xml:space="preserve">No. of Bonds outstanding </t>
  </si>
  <si>
    <t xml:space="preserve">No.of Preference Shares </t>
  </si>
  <si>
    <t>No.  of Equity Shares</t>
  </si>
  <si>
    <t>EcoGrid Renewables Ltd.</t>
  </si>
  <si>
    <t>market return</t>
  </si>
  <si>
    <t>Akshara Textiles Ltd.</t>
  </si>
  <si>
    <t>Market return</t>
  </si>
  <si>
    <t>Zenith Pharmaceuticals Ltd</t>
  </si>
  <si>
    <t>Horizon Automotives  Ltd</t>
  </si>
  <si>
    <t>BlueWave Logistics Ltd.</t>
  </si>
  <si>
    <t>Vista Agro Foods Ltd.</t>
  </si>
  <si>
    <t>Nimbus Hospitality  Ltd.</t>
  </si>
  <si>
    <t>Cost of Existing common Equity (CAPM)</t>
  </si>
  <si>
    <t xml:space="preserve">face value </t>
  </si>
  <si>
    <t>market price</t>
  </si>
  <si>
    <t>With Existing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</si>
</sst>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* #,##0_);_(* \(#,##0\);_(* &quot;-&quot;??_);_(@_)"/>
    <numFmt numFmtId="166" formatCode="#,##0\ &quot;Nos&quot;"/>
    <numFmt numFmtId="167" formatCode="0.0%"/>
    <numFmt numFmtId="168" formatCode="0\ &quot;Times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10" fontId="4" fillId="0" borderId="0" xfId="3" applyNumberFormat="1" applyFont="1"/>
    <xf numFmtId="10" fontId="0" fillId="0" borderId="0" xfId="3" applyNumberFormat="1" applyFont="1"/>
    <xf numFmtId="0" fontId="3" fillId="0" borderId="0" xfId="0" applyFont="1" applyAlignment="1">
      <alignment horizontal="right"/>
    </xf>
    <xf numFmtId="0" fontId="7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3" borderId="0" xfId="0" applyFill="1"/>
    <xf numFmtId="10" fontId="0" fillId="3" borderId="0" xfId="3" applyNumberFormat="1" applyFont="1" applyFill="1"/>
    <xf numFmtId="0" fontId="0" fillId="4" borderId="0" xfId="0" applyFill="1"/>
    <xf numFmtId="10" fontId="0" fillId="4" borderId="0" xfId="3" applyNumberFormat="1" applyFont="1" applyFill="1"/>
    <xf numFmtId="10" fontId="4" fillId="4" borderId="0" xfId="3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10" fontId="3" fillId="3" borderId="0" xfId="0" applyNumberFormat="1" applyFont="1" applyFill="1"/>
    <xf numFmtId="164" fontId="3" fillId="3" borderId="0" xfId="2" applyNumberFormat="1" applyFont="1" applyFill="1"/>
    <xf numFmtId="165" fontId="3" fillId="3" borderId="0" xfId="1" applyNumberFormat="1" applyFont="1" applyFill="1"/>
    <xf numFmtId="0" fontId="4" fillId="3" borderId="0" xfId="0" applyFont="1" applyFill="1"/>
    <xf numFmtId="9" fontId="4" fillId="3" borderId="0" xfId="3" applyFont="1" applyFill="1"/>
    <xf numFmtId="10" fontId="0" fillId="4" borderId="0" xfId="0" applyNumberFormat="1" applyFill="1"/>
    <xf numFmtId="9" fontId="0" fillId="3" borderId="0" xfId="0" applyNumberFormat="1" applyFill="1"/>
    <xf numFmtId="44" fontId="0" fillId="3" borderId="0" xfId="2" applyFont="1" applyFill="1"/>
    <xf numFmtId="43" fontId="0" fillId="3" borderId="0" xfId="1" applyFont="1" applyFill="1"/>
    <xf numFmtId="0" fontId="7" fillId="2" borderId="1" xfId="0" applyFont="1" applyFill="1" applyBorder="1" applyAlignment="1">
      <alignment horizontal="center"/>
    </xf>
    <xf numFmtId="165" fontId="0" fillId="0" borderId="0" xfId="1" applyNumberFormat="1" applyFont="1"/>
    <xf numFmtId="164" fontId="0" fillId="0" borderId="0" xfId="2" applyNumberFormat="1" applyFont="1"/>
    <xf numFmtId="164" fontId="4" fillId="3" borderId="0" xfId="0" applyNumberFormat="1" applyFont="1" applyFill="1"/>
    <xf numFmtId="0" fontId="5" fillId="0" borderId="2" xfId="0" applyFont="1" applyBorder="1"/>
    <xf numFmtId="165" fontId="5" fillId="0" borderId="2" xfId="1" applyNumberFormat="1" applyFont="1" applyBorder="1"/>
    <xf numFmtId="164" fontId="5" fillId="0" borderId="2" xfId="2" applyNumberFormat="1" applyFont="1" applyBorder="1"/>
    <xf numFmtId="10" fontId="5" fillId="0" borderId="2" xfId="3" applyNumberFormat="1" applyFont="1" applyBorder="1"/>
    <xf numFmtId="0" fontId="4" fillId="0" borderId="3" xfId="0" applyFont="1" applyBorder="1"/>
    <xf numFmtId="0" fontId="7" fillId="0" borderId="3" xfId="0" applyFont="1" applyBorder="1" applyAlignment="1">
      <alignment horizontal="centerContinuous"/>
    </xf>
    <xf numFmtId="0" fontId="0" fillId="0" borderId="3" xfId="0" applyBorder="1"/>
    <xf numFmtId="10" fontId="4" fillId="0" borderId="3" xfId="3" quotePrefix="1" applyNumberFormat="1" applyFont="1" applyBorder="1"/>
    <xf numFmtId="0" fontId="3" fillId="3" borderId="0" xfId="0" applyFont="1" applyFill="1" applyAlignment="1">
      <alignment horizontal="left"/>
    </xf>
    <xf numFmtId="164" fontId="0" fillId="3" borderId="0" xfId="0" applyNumberFormat="1" applyFill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166" fontId="0" fillId="3" borderId="0" xfId="0" applyNumberFormat="1" applyFill="1" applyAlignment="1">
      <alignment horizontal="right"/>
    </xf>
    <xf numFmtId="166" fontId="3" fillId="3" borderId="0" xfId="0" applyNumberFormat="1" applyFont="1" applyFill="1"/>
    <xf numFmtId="0" fontId="9" fillId="0" borderId="0" xfId="0" applyFont="1"/>
    <xf numFmtId="10" fontId="0" fillId="3" borderId="0" xfId="0" applyNumberFormat="1" applyFill="1"/>
    <xf numFmtId="167" fontId="0" fillId="3" borderId="0" xfId="0" applyNumberFormat="1" applyFill="1"/>
    <xf numFmtId="168" fontId="3" fillId="3" borderId="0" xfId="1" applyNumberFormat="1" applyFont="1" applyFill="1"/>
    <xf numFmtId="44" fontId="0" fillId="0" borderId="0" xfId="3" applyNumberFormat="1" applyFont="1"/>
    <xf numFmtId="164" fontId="0" fillId="0" borderId="0" xfId="3" applyNumberFormat="1" applyFont="1"/>
    <xf numFmtId="164" fontId="5" fillId="0" borderId="2" xfId="3" applyNumberFormat="1" applyFont="1" applyBorder="1"/>
    <xf numFmtId="0" fontId="0" fillId="0" borderId="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F6D5-1446-4BB7-BDE3-640C08211FC9}">
  <dimension ref="A1:I27"/>
  <sheetViews>
    <sheetView topLeftCell="F14" zoomScale="130" zoomScaleNormal="130" workbookViewId="0">
      <selection activeCell="I17" sqref="I17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7.90625" style="1" customWidth="1"/>
    <col min="4" max="4" width="24.453125" style="1" customWidth="1"/>
    <col min="5" max="5" width="22.90625" style="1" customWidth="1"/>
    <col min="6" max="6" width="40" style="1" customWidth="1"/>
    <col min="7" max="7" width="33.453125" style="1" customWidth="1"/>
    <col min="8" max="8" width="12.7265625" style="1" bestFit="1" customWidth="1"/>
    <col min="9" max="9" width="35.54296875" style="1" customWidth="1"/>
    <col min="10" max="16384" width="8.7265625" style="1"/>
  </cols>
  <sheetData>
    <row r="1" spans="1:9" ht="14.5" thickBot="1" x14ac:dyDescent="0.35">
      <c r="A1" s="1" t="s">
        <v>15</v>
      </c>
      <c r="B1" s="43" t="s">
        <v>44</v>
      </c>
    </row>
    <row r="2" spans="1:9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9" ht="14.5" x14ac:dyDescent="0.35">
      <c r="A3" s="37" t="s">
        <v>41</v>
      </c>
      <c r="B3" s="42">
        <v>10000</v>
      </c>
      <c r="D3" s="39" t="s">
        <v>42</v>
      </c>
      <c r="E3" s="41">
        <v>100000</v>
      </c>
      <c r="G3" s="40" t="s">
        <v>43</v>
      </c>
      <c r="H3" s="41">
        <v>1500000</v>
      </c>
    </row>
    <row r="4" spans="1:9" ht="17" x14ac:dyDescent="0.45">
      <c r="A4" s="14" t="s">
        <v>0</v>
      </c>
      <c r="B4" s="15">
        <v>42901</v>
      </c>
      <c r="D4" s="7" t="s">
        <v>12</v>
      </c>
      <c r="E4" s="38">
        <v>5</v>
      </c>
      <c r="G4" s="7" t="s">
        <v>17</v>
      </c>
      <c r="H4" s="38">
        <v>2.75</v>
      </c>
    </row>
    <row r="5" spans="1:9" ht="14.5" x14ac:dyDescent="0.35">
      <c r="A5" s="14" t="s">
        <v>5</v>
      </c>
      <c r="B5" s="15">
        <v>44910</v>
      </c>
      <c r="D5" s="7" t="s">
        <v>3</v>
      </c>
      <c r="E5" s="38">
        <v>100</v>
      </c>
      <c r="G5" s="7" t="s">
        <v>18</v>
      </c>
      <c r="H5" s="22">
        <v>6.25E-2</v>
      </c>
    </row>
    <row r="6" spans="1:9" ht="14.5" x14ac:dyDescent="0.35">
      <c r="A6" s="14" t="s">
        <v>1</v>
      </c>
      <c r="B6" s="16">
        <v>5.6500000000000002E-2</v>
      </c>
      <c r="D6" s="7" t="s">
        <v>2</v>
      </c>
      <c r="E6" s="38">
        <v>125</v>
      </c>
      <c r="G6" s="19" t="s">
        <v>34</v>
      </c>
      <c r="H6" s="28">
        <v>10</v>
      </c>
    </row>
    <row r="7" spans="1:9" ht="14.5" x14ac:dyDescent="0.35">
      <c r="A7" s="14" t="s">
        <v>3</v>
      </c>
      <c r="B7" s="17">
        <v>10000</v>
      </c>
      <c r="D7" s="7" t="s">
        <v>6</v>
      </c>
      <c r="E7" s="8">
        <v>2.75E-2</v>
      </c>
      <c r="G7" s="7" t="s">
        <v>2</v>
      </c>
      <c r="H7" s="23">
        <v>28.5</v>
      </c>
    </row>
    <row r="8" spans="1:9" ht="14.5" x14ac:dyDescent="0.35">
      <c r="A8" s="19" t="s">
        <v>35</v>
      </c>
      <c r="B8" s="28">
        <v>11250</v>
      </c>
      <c r="G8" s="7" t="s">
        <v>6</v>
      </c>
      <c r="H8" s="22">
        <v>2.75E-2</v>
      </c>
    </row>
    <row r="9" spans="1:9" ht="14.5" x14ac:dyDescent="0.35">
      <c r="A9" s="7" t="s">
        <v>6</v>
      </c>
      <c r="B9" s="8">
        <v>1.7500000000000002E-2</v>
      </c>
      <c r="G9" s="7" t="s">
        <v>19</v>
      </c>
      <c r="H9" s="24">
        <v>1.45</v>
      </c>
    </row>
    <row r="10" spans="1:9" ht="14.5" x14ac:dyDescent="0.35">
      <c r="A10" s="14" t="s">
        <v>4</v>
      </c>
      <c r="B10" s="46">
        <v>2</v>
      </c>
      <c r="G10" s="7" t="s">
        <v>20</v>
      </c>
      <c r="H10" s="22">
        <v>4.2500000000000003E-2</v>
      </c>
    </row>
    <row r="11" spans="1:9" ht="14.5" x14ac:dyDescent="0.35">
      <c r="A11" s="19" t="s">
        <v>8</v>
      </c>
      <c r="B11" s="19">
        <v>0</v>
      </c>
      <c r="C11" s="4"/>
      <c r="G11" s="7" t="s">
        <v>45</v>
      </c>
      <c r="H11" s="22">
        <v>0.18</v>
      </c>
    </row>
    <row r="12" spans="1:9" x14ac:dyDescent="0.3">
      <c r="A12" s="14" t="s">
        <v>10</v>
      </c>
      <c r="B12" s="20">
        <v>0.2</v>
      </c>
    </row>
    <row r="14" spans="1:9" ht="14.5" x14ac:dyDescent="0.35">
      <c r="A14" s="9" t="s">
        <v>9</v>
      </c>
      <c r="B14" s="10">
        <f>YIELD(B4,B5,B6,(B8*(1-B9))/B7*100,B7/B7*100,B10,1)</f>
        <v>3.5267416211480475E-2</v>
      </c>
      <c r="C14" s="1" t="str">
        <f ca="1">_xlfn.FORMULATEXT(B14)</f>
        <v>=YIELD(B4,B5,B6,(B8*(1-B9))/B7*100,B7/B7*100,B10,1)</v>
      </c>
      <c r="D14" s="9" t="s">
        <v>13</v>
      </c>
      <c r="E14" s="10">
        <f>E4/(E6*(1-E7))</f>
        <v>4.1131105398457581E-2</v>
      </c>
      <c r="F14" s="1" t="str">
        <f ca="1">_xlfn.FORMULATEXT(E14)</f>
        <v>=E4/(E6*(1-E7))</v>
      </c>
      <c r="G14" s="9" t="s">
        <v>53</v>
      </c>
      <c r="H14" s="10">
        <f>H10+H9*(H11-H10)</f>
        <v>0.24187499999999998</v>
      </c>
      <c r="I14" s="1" t="str">
        <f ca="1">_xlfn.FORMULATEXT(H14)</f>
        <v>=H10+H9*(H11-H10)</v>
      </c>
    </row>
    <row r="15" spans="1:9" ht="14.5" x14ac:dyDescent="0.35">
      <c r="A15" s="9" t="s">
        <v>7</v>
      </c>
      <c r="B15" s="11">
        <f>B14*(1-B12)</f>
        <v>2.8213932969184383E-2</v>
      </c>
      <c r="C15" s="1" t="str">
        <f ca="1">_xlfn.FORMULATEXT(B15)</f>
        <v>=B14*(1-B12)</v>
      </c>
      <c r="G15" s="9" t="s">
        <v>23</v>
      </c>
      <c r="H15" s="21">
        <f>H4/(H7*(1-H8))+H5</f>
        <v>0.16171977179452485</v>
      </c>
      <c r="I15" s="1" t="str">
        <f ca="1">_xlfn.FORMULATEXT(H15)</f>
        <v>=H4/(H7*(1-H8))+H5</v>
      </c>
    </row>
    <row r="17" spans="1:8" x14ac:dyDescent="0.3">
      <c r="C17" s="2"/>
    </row>
    <row r="18" spans="1:8" ht="14.5" thickBot="1" x14ac:dyDescent="0.35"/>
    <row r="19" spans="1:8" ht="14.5" thickBot="1" x14ac:dyDescent="0.35">
      <c r="A19" s="25" t="s">
        <v>24</v>
      </c>
      <c r="B19" s="25" t="s">
        <v>25</v>
      </c>
      <c r="C19" s="1" t="s">
        <v>54</v>
      </c>
      <c r="D19" s="25" t="s">
        <v>26</v>
      </c>
      <c r="E19" s="1" t="s">
        <v>55</v>
      </c>
      <c r="F19" s="25" t="s">
        <v>27</v>
      </c>
      <c r="G19" s="25" t="s">
        <v>28</v>
      </c>
      <c r="H19" s="25" t="s">
        <v>29</v>
      </c>
    </row>
    <row r="20" spans="1:8" ht="14.5" x14ac:dyDescent="0.35">
      <c r="A20" t="s">
        <v>30</v>
      </c>
      <c r="B20" s="26">
        <f>H3</f>
        <v>1500000</v>
      </c>
      <c r="C20" s="27">
        <f>H6</f>
        <v>10</v>
      </c>
      <c r="D20" s="27">
        <f>B20*C20</f>
        <v>15000000</v>
      </c>
      <c r="E20" s="47">
        <f>H7</f>
        <v>28.5</v>
      </c>
      <c r="F20" s="48">
        <f>B20*E20</f>
        <v>42750000</v>
      </c>
    </row>
    <row r="21" spans="1:8" ht="14.5" x14ac:dyDescent="0.35">
      <c r="A21" t="s">
        <v>31</v>
      </c>
      <c r="B21" s="26">
        <f>E3</f>
        <v>100000</v>
      </c>
      <c r="C21" s="27">
        <f>E5</f>
        <v>100</v>
      </c>
      <c r="D21" s="27">
        <f t="shared" ref="D21:D22" si="0">B21*C21</f>
        <v>10000000</v>
      </c>
      <c r="E21" s="48">
        <f>E6</f>
        <v>125</v>
      </c>
      <c r="F21" s="48">
        <f t="shared" ref="F21:F22" si="1">B21*E21</f>
        <v>12500000</v>
      </c>
    </row>
    <row r="22" spans="1:8" ht="15" thickBot="1" x14ac:dyDescent="0.4">
      <c r="A22" t="s">
        <v>32</v>
      </c>
      <c r="B22" s="26">
        <f>B3</f>
        <v>10000</v>
      </c>
      <c r="C22" s="27">
        <f>B7</f>
        <v>10000</v>
      </c>
      <c r="D22" s="27">
        <f t="shared" si="0"/>
        <v>100000000</v>
      </c>
      <c r="E22" s="48">
        <f>B8</f>
        <v>11250</v>
      </c>
      <c r="F22" s="48">
        <f t="shared" si="1"/>
        <v>112500000</v>
      </c>
    </row>
    <row r="23" spans="1:8" ht="14.5" x14ac:dyDescent="0.35">
      <c r="A23" s="29" t="s">
        <v>33</v>
      </c>
      <c r="B23" s="30"/>
      <c r="C23" s="31">
        <f>SUM(C20:C22)</f>
        <v>10110</v>
      </c>
      <c r="D23" s="31">
        <f>SUM(D20:D22)</f>
        <v>125000000</v>
      </c>
      <c r="E23" s="32">
        <f>SUM(E20:E22)</f>
        <v>11403.5</v>
      </c>
      <c r="F23" s="49">
        <f>SUM(F20:F22)</f>
        <v>167750000</v>
      </c>
    </row>
    <row r="25" spans="1:8" ht="14.5" x14ac:dyDescent="0.35">
      <c r="A25" s="33"/>
      <c r="B25" s="50" t="s">
        <v>39</v>
      </c>
      <c r="C25" s="50"/>
      <c r="D25" s="50" t="s">
        <v>40</v>
      </c>
      <c r="E25" s="50"/>
    </row>
    <row r="26" spans="1:8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8" x14ac:dyDescent="0.3">
      <c r="A27" s="34" t="s">
        <v>36</v>
      </c>
      <c r="B27" s="36">
        <f>(E20*$H$14)+(E21*$E$14)+(E22*$B$15)</f>
        <v>329.44157157813152</v>
      </c>
      <c r="C27" s="36">
        <f>(F20*$H$14)+(F21*$E$14)+(F22*$B$15)</f>
        <v>14028362.526513964</v>
      </c>
      <c r="D27" s="36">
        <f>(E20*$H$15)+(E21*$E$14)+(E22*$B$15)</f>
        <v>327.15714757427543</v>
      </c>
      <c r="E27" s="36">
        <f>(F20*$H$15)+(F21*$E$14)+(F22*$B$15)</f>
        <v>10601726.520729899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4703-6F8C-4EEA-9B2E-BD847CF0B4AB}">
  <dimension ref="A1:H27"/>
  <sheetViews>
    <sheetView zoomScale="130" zoomScaleNormal="130" workbookViewId="0">
      <selection activeCell="B5" sqref="B5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16.7265625" style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44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10000</v>
      </c>
      <c r="D3" s="39" t="s">
        <v>42</v>
      </c>
      <c r="E3" s="41">
        <v>100000</v>
      </c>
      <c r="G3" s="40" t="s">
        <v>43</v>
      </c>
      <c r="H3" s="41">
        <v>1500000</v>
      </c>
    </row>
    <row r="4" spans="1:8" ht="17" x14ac:dyDescent="0.45">
      <c r="A4" s="14" t="s">
        <v>0</v>
      </c>
      <c r="B4" s="15">
        <v>42901</v>
      </c>
      <c r="D4" s="7" t="s">
        <v>12</v>
      </c>
      <c r="E4" s="38">
        <v>5</v>
      </c>
      <c r="G4" s="7" t="s">
        <v>17</v>
      </c>
      <c r="H4" s="38">
        <v>2.75</v>
      </c>
    </row>
    <row r="5" spans="1:8" ht="14.5" x14ac:dyDescent="0.35">
      <c r="A5" s="14" t="s">
        <v>5</v>
      </c>
      <c r="B5" s="15">
        <v>44910</v>
      </c>
      <c r="D5" s="7" t="s">
        <v>3</v>
      </c>
      <c r="E5" s="38">
        <v>100</v>
      </c>
      <c r="G5" s="7" t="s">
        <v>18</v>
      </c>
      <c r="H5" s="22">
        <v>6.25E-2</v>
      </c>
    </row>
    <row r="6" spans="1:8" ht="14.5" x14ac:dyDescent="0.35">
      <c r="A6" s="14" t="s">
        <v>1</v>
      </c>
      <c r="B6" s="16">
        <v>5.6500000000000002E-2</v>
      </c>
      <c r="D6" s="7" t="s">
        <v>2</v>
      </c>
      <c r="E6" s="38">
        <v>125</v>
      </c>
      <c r="G6" s="19" t="s">
        <v>34</v>
      </c>
      <c r="H6" s="28">
        <v>10</v>
      </c>
    </row>
    <row r="7" spans="1:8" ht="14.5" x14ac:dyDescent="0.35">
      <c r="A7" s="14" t="s">
        <v>3</v>
      </c>
      <c r="B7" s="17">
        <v>10000</v>
      </c>
      <c r="D7" s="7" t="s">
        <v>6</v>
      </c>
      <c r="E7" s="8">
        <v>2.75E-2</v>
      </c>
      <c r="G7" s="7" t="s">
        <v>2</v>
      </c>
      <c r="H7" s="23">
        <v>28.5</v>
      </c>
    </row>
    <row r="8" spans="1:8" ht="14.5" x14ac:dyDescent="0.35">
      <c r="A8" s="19" t="s">
        <v>35</v>
      </c>
      <c r="B8" s="28">
        <v>11250</v>
      </c>
      <c r="G8" s="7" t="s">
        <v>6</v>
      </c>
      <c r="H8" s="22">
        <v>2.75E-2</v>
      </c>
    </row>
    <row r="9" spans="1:8" ht="14.5" x14ac:dyDescent="0.35">
      <c r="A9" s="7" t="s">
        <v>6</v>
      </c>
      <c r="B9" s="8">
        <v>1.7500000000000002E-2</v>
      </c>
      <c r="G9" s="7" t="s">
        <v>19</v>
      </c>
      <c r="H9" s="24">
        <v>1.45</v>
      </c>
    </row>
    <row r="10" spans="1:8" ht="14.5" x14ac:dyDescent="0.35">
      <c r="A10" s="14" t="s">
        <v>4</v>
      </c>
      <c r="B10" s="18">
        <v>2</v>
      </c>
      <c r="G10" s="7" t="s">
        <v>20</v>
      </c>
      <c r="H10" s="22">
        <v>4.2500000000000003E-2</v>
      </c>
    </row>
    <row r="11" spans="1:8" ht="14.5" x14ac:dyDescent="0.35">
      <c r="A11" s="19" t="s">
        <v>8</v>
      </c>
      <c r="B11" s="19">
        <v>0</v>
      </c>
      <c r="C11" s="4"/>
      <c r="G11" s="7" t="s">
        <v>45</v>
      </c>
      <c r="H11" s="22">
        <v>0.18</v>
      </c>
    </row>
    <row r="12" spans="1:8" x14ac:dyDescent="0.3">
      <c r="A12" s="14" t="s">
        <v>10</v>
      </c>
      <c r="B12" s="20">
        <v>0.2</v>
      </c>
    </row>
    <row r="14" spans="1:8" ht="14.5" x14ac:dyDescent="0.35">
      <c r="A14" s="9" t="s">
        <v>9</v>
      </c>
      <c r="B14" s="10">
        <f>YIELD(B4,B5,B6,B8*(1-B9)/100,B7*(1+B11)/100,B10,0)</f>
        <v>3.5267416211480294E-2</v>
      </c>
      <c r="D14" s="9" t="s">
        <v>13</v>
      </c>
      <c r="E14" s="10">
        <f>E4/(E6*(1-E7))</f>
        <v>4.1131105398457581E-2</v>
      </c>
      <c r="G14" s="9" t="s">
        <v>22</v>
      </c>
      <c r="H14" s="10">
        <f>H10+H9*(H11 - H10)</f>
        <v>0.24187499999999998</v>
      </c>
    </row>
    <row r="15" spans="1:8" ht="14.5" x14ac:dyDescent="0.35">
      <c r="A15" s="9" t="s">
        <v>7</v>
      </c>
      <c r="B15" s="11">
        <f>B14*(1-B12)</f>
        <v>2.8213932969184237E-2</v>
      </c>
      <c r="G15" s="9" t="s">
        <v>23</v>
      </c>
      <c r="H15" s="21">
        <f>H4/(H7*(1-H8))+H5</f>
        <v>0.16171977179452485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1500000</v>
      </c>
      <c r="C20" s="27">
        <f>B20*H6</f>
        <v>15000000</v>
      </c>
      <c r="D20" s="27">
        <f>B20*H7</f>
        <v>42750000</v>
      </c>
      <c r="E20" s="3">
        <f>C20/$C$23</f>
        <v>0.12</v>
      </c>
      <c r="F20" s="3">
        <f>D20/$D$23</f>
        <v>0.2548435171385991</v>
      </c>
    </row>
    <row r="21" spans="1:6" ht="14.5" x14ac:dyDescent="0.35">
      <c r="A21" t="s">
        <v>31</v>
      </c>
      <c r="B21" s="26">
        <f>E3</f>
        <v>100000</v>
      </c>
      <c r="C21" s="27">
        <f>B21*E5</f>
        <v>10000000</v>
      </c>
      <c r="D21" s="27">
        <f>B21*E6</f>
        <v>12500000</v>
      </c>
      <c r="E21" s="3">
        <f t="shared" ref="E21:E22" si="0">C21/$C$23</f>
        <v>0.08</v>
      </c>
      <c r="F21" s="3">
        <f t="shared" ref="F21:F22" si="1">D21/$D$23</f>
        <v>7.4515648286140088E-2</v>
      </c>
    </row>
    <row r="22" spans="1:6" ht="15" thickBot="1" x14ac:dyDescent="0.4">
      <c r="A22" t="s">
        <v>32</v>
      </c>
      <c r="B22" s="26">
        <f>B3</f>
        <v>10000</v>
      </c>
      <c r="C22" s="27">
        <f>B22*B7</f>
        <v>100000000</v>
      </c>
      <c r="D22" s="27">
        <f>B22*B8</f>
        <v>112500000</v>
      </c>
      <c r="E22" s="3">
        <f t="shared" si="0"/>
        <v>0.8</v>
      </c>
      <c r="F22" s="3">
        <f t="shared" si="1"/>
        <v>0.6706408345752608</v>
      </c>
    </row>
    <row r="23" spans="1:6" ht="14.5" x14ac:dyDescent="0.35">
      <c r="A23" s="29" t="s">
        <v>33</v>
      </c>
      <c r="B23" s="30"/>
      <c r="C23" s="31">
        <f>SUM(C20:C22)</f>
        <v>125000000</v>
      </c>
      <c r="D23" s="31">
        <f>SUM(D20:D22)</f>
        <v>167750000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56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5.4886634807223993E-2</v>
      </c>
      <c r="C27" s="36">
        <f>(F20*$H$14)+(F21*$E$14)+(F22*$B$15)</f>
        <v>8.3626602244494461E-2</v>
      </c>
      <c r="D27" s="36">
        <f>(E20*$H$15)+(E21*$E$14)+(E22*$B$15)</f>
        <v>4.526800742256698E-2</v>
      </c>
      <c r="E27" s="36">
        <f>(F20*$H$15)+(F21*$E$14)+(F22*$B$15)</f>
        <v>6.3199561971564136E-2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B517-4E86-45E8-9553-CD998C45BD03}">
  <dimension ref="A1:H27"/>
  <sheetViews>
    <sheetView zoomScaleNormal="100" workbookViewId="0">
      <selection activeCell="B5" sqref="B5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13.81640625" style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46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8600</v>
      </c>
      <c r="D3" s="39" t="s">
        <v>42</v>
      </c>
      <c r="E3" s="41">
        <v>100000</v>
      </c>
      <c r="G3" s="40" t="s">
        <v>43</v>
      </c>
      <c r="H3" s="41">
        <v>1250000</v>
      </c>
    </row>
    <row r="4" spans="1:8" ht="17" x14ac:dyDescent="0.45">
      <c r="A4" s="14" t="s">
        <v>0</v>
      </c>
      <c r="B4" s="15">
        <v>42781</v>
      </c>
      <c r="D4" s="7" t="s">
        <v>12</v>
      </c>
      <c r="E4" s="38">
        <v>3</v>
      </c>
      <c r="G4" s="7" t="s">
        <v>17</v>
      </c>
      <c r="H4" s="38">
        <v>1.45</v>
      </c>
    </row>
    <row r="5" spans="1:8" ht="14.5" x14ac:dyDescent="0.35">
      <c r="A5" s="14" t="s">
        <v>5</v>
      </c>
      <c r="B5" s="15">
        <v>46614</v>
      </c>
      <c r="D5" s="7" t="s">
        <v>3</v>
      </c>
      <c r="E5" s="38">
        <v>50</v>
      </c>
      <c r="G5" s="7" t="s">
        <v>18</v>
      </c>
      <c r="H5" s="22">
        <v>0.06</v>
      </c>
    </row>
    <row r="6" spans="1:8" ht="14.5" x14ac:dyDescent="0.35">
      <c r="A6" s="14" t="s">
        <v>1</v>
      </c>
      <c r="B6" s="16">
        <v>5.5E-2</v>
      </c>
      <c r="D6" s="7" t="s">
        <v>2</v>
      </c>
      <c r="E6" s="38">
        <v>64.3</v>
      </c>
      <c r="G6" s="19" t="s">
        <v>34</v>
      </c>
      <c r="H6" s="28">
        <v>10</v>
      </c>
    </row>
    <row r="7" spans="1:8" ht="14.5" x14ac:dyDescent="0.35">
      <c r="A7" s="14" t="s">
        <v>3</v>
      </c>
      <c r="B7" s="17">
        <v>1000</v>
      </c>
      <c r="D7" s="7" t="s">
        <v>6</v>
      </c>
      <c r="E7" s="8">
        <v>0.04</v>
      </c>
      <c r="G7" s="7" t="s">
        <v>2</v>
      </c>
      <c r="H7" s="23">
        <v>32</v>
      </c>
    </row>
    <row r="8" spans="1:8" ht="14.5" x14ac:dyDescent="0.35">
      <c r="A8" s="19" t="s">
        <v>35</v>
      </c>
      <c r="B8" s="28">
        <v>1125</v>
      </c>
      <c r="G8" s="7" t="s">
        <v>6</v>
      </c>
      <c r="H8" s="22">
        <v>0.08</v>
      </c>
    </row>
    <row r="9" spans="1:8" ht="14.5" x14ac:dyDescent="0.35">
      <c r="A9" s="7" t="s">
        <v>6</v>
      </c>
      <c r="B9" s="8">
        <v>0.02</v>
      </c>
      <c r="G9" s="7" t="s">
        <v>19</v>
      </c>
      <c r="H9" s="24">
        <v>1.25</v>
      </c>
    </row>
    <row r="10" spans="1:8" ht="14.5" x14ac:dyDescent="0.35">
      <c r="A10" s="14" t="s">
        <v>4</v>
      </c>
      <c r="B10" s="18">
        <v>2</v>
      </c>
      <c r="G10" s="7" t="s">
        <v>20</v>
      </c>
      <c r="H10" s="22">
        <v>0.03</v>
      </c>
    </row>
    <row r="11" spans="1:8" ht="14.5" x14ac:dyDescent="0.35">
      <c r="A11" s="19" t="s">
        <v>8</v>
      </c>
      <c r="B11" s="19">
        <v>0</v>
      </c>
      <c r="C11" s="4"/>
      <c r="G11" s="7" t="s">
        <v>21</v>
      </c>
      <c r="H11" s="22">
        <v>0.06</v>
      </c>
    </row>
    <row r="12" spans="1:8" x14ac:dyDescent="0.3">
      <c r="A12" s="14" t="s">
        <v>10</v>
      </c>
      <c r="B12" s="20">
        <v>0.35</v>
      </c>
    </row>
    <row r="14" spans="1:8" ht="14.5" x14ac:dyDescent="0.35">
      <c r="A14" s="9" t="s">
        <v>9</v>
      </c>
      <c r="B14" s="10">
        <f>YIELD(B4,B5,B6,B8*(1-B9)/10,B7*(1+B11)/10,B10,0)</f>
        <v>4.2779725145032386E-2</v>
      </c>
      <c r="D14" s="9" t="s">
        <v>13</v>
      </c>
      <c r="E14" s="10">
        <f>E4/(E6*(1-E7))</f>
        <v>4.8600311041990675E-2</v>
      </c>
      <c r="G14" s="9" t="s">
        <v>22</v>
      </c>
      <c r="H14" s="10">
        <f>H10+H9*(H11 - H10)</f>
        <v>6.7500000000000004E-2</v>
      </c>
    </row>
    <row r="15" spans="1:8" ht="14.5" x14ac:dyDescent="0.35">
      <c r="A15" s="9" t="s">
        <v>7</v>
      </c>
      <c r="B15" s="11">
        <f>B14*(1-B12)</f>
        <v>2.7806821344271052E-2</v>
      </c>
      <c r="G15" s="9" t="s">
        <v>23</v>
      </c>
      <c r="H15" s="21">
        <f>H4/(H7*(1-H8))+H5</f>
        <v>0.10925271739130435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1250000</v>
      </c>
      <c r="C20" s="27">
        <f>B20*H6</f>
        <v>12500000</v>
      </c>
      <c r="D20" s="27">
        <f>B20*H7</f>
        <v>40000000</v>
      </c>
      <c r="E20" s="3">
        <f>C20/$C$23</f>
        <v>0.47892720306513409</v>
      </c>
      <c r="F20" s="3">
        <f>D20/$D$23</f>
        <v>0.71294893503252832</v>
      </c>
    </row>
    <row r="21" spans="1:6" ht="14.5" x14ac:dyDescent="0.35">
      <c r="A21" t="s">
        <v>31</v>
      </c>
      <c r="B21" s="26">
        <f>E3</f>
        <v>100000</v>
      </c>
      <c r="C21" s="27">
        <f>B21*E5</f>
        <v>5000000</v>
      </c>
      <c r="D21" s="27">
        <f>B21*E6</f>
        <v>6430000</v>
      </c>
      <c r="E21" s="3">
        <f t="shared" ref="E21:E22" si="0">C21/$C$23</f>
        <v>0.19157088122605365</v>
      </c>
      <c r="F21" s="3">
        <f t="shared" ref="F21:F22" si="1">D21/$D$23</f>
        <v>0.11460654130647892</v>
      </c>
    </row>
    <row r="22" spans="1:6" ht="15" thickBot="1" x14ac:dyDescent="0.4">
      <c r="A22" t="s">
        <v>32</v>
      </c>
      <c r="B22" s="26">
        <f>B3</f>
        <v>8600</v>
      </c>
      <c r="C22" s="27">
        <f>B22*B7</f>
        <v>8600000</v>
      </c>
      <c r="D22" s="27">
        <f>B22*B8</f>
        <v>9675000</v>
      </c>
      <c r="E22" s="3">
        <f t="shared" si="0"/>
        <v>0.32950191570881227</v>
      </c>
      <c r="F22" s="3">
        <f t="shared" si="1"/>
        <v>0.17244452366099278</v>
      </c>
    </row>
    <row r="23" spans="1:6" ht="14.5" x14ac:dyDescent="0.35">
      <c r="A23" s="29" t="s">
        <v>33</v>
      </c>
      <c r="B23" s="30"/>
      <c r="C23" s="31">
        <f>SUM(C20:C22)</f>
        <v>26100000</v>
      </c>
      <c r="D23" s="31">
        <f>SUM(D20:D22)</f>
        <v>56105000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5.0800391523781019E-2</v>
      </c>
      <c r="C27" s="36">
        <f>(F20*$H$14)+(F21*$E$14)+(F22*$B$15)</f>
        <v>5.8489100730876445E-2</v>
      </c>
      <c r="D27" s="36">
        <f>(E20*$H$15)+(E21*$E$14)+(E22*$B$15)</f>
        <v>7.079690368436739E-2</v>
      </c>
      <c r="E27" s="36">
        <f>(F20*$H$15)+(F21*$E$14)+(F22*$B$15)</f>
        <v>8.8256656129721001E-2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28AD-6AB0-4A1A-B482-4D4B70C9B9F6}">
  <dimension ref="A1:H27"/>
  <sheetViews>
    <sheetView topLeftCell="B1" zoomScale="115" zoomScaleNormal="115" workbookViewId="0">
      <selection activeCell="B5" sqref="B5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2.90625" style="1" bestFit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48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5000</v>
      </c>
      <c r="D3" s="39" t="s">
        <v>42</v>
      </c>
      <c r="E3" s="41">
        <v>1000000</v>
      </c>
      <c r="G3" s="40" t="s">
        <v>43</v>
      </c>
      <c r="H3" s="41">
        <v>1500000</v>
      </c>
    </row>
    <row r="4" spans="1:8" ht="17" x14ac:dyDescent="0.45">
      <c r="A4" s="14" t="s">
        <v>0</v>
      </c>
      <c r="B4" s="15">
        <v>43831</v>
      </c>
      <c r="D4" s="7" t="s">
        <v>12</v>
      </c>
      <c r="E4" s="38">
        <v>3.5</v>
      </c>
      <c r="G4" s="7" t="s">
        <v>17</v>
      </c>
      <c r="H4" s="38">
        <v>0.85</v>
      </c>
    </row>
    <row r="5" spans="1:8" ht="14.5" x14ac:dyDescent="0.35">
      <c r="A5" s="14" t="s">
        <v>5</v>
      </c>
      <c r="B5" s="15">
        <v>49674</v>
      </c>
      <c r="D5" s="7" t="s">
        <v>3</v>
      </c>
      <c r="E5" s="38">
        <v>50</v>
      </c>
      <c r="G5" s="7" t="s">
        <v>18</v>
      </c>
      <c r="H5" s="44">
        <v>7.4999999999999997E-2</v>
      </c>
    </row>
    <row r="6" spans="1:8" ht="14.5" x14ac:dyDescent="0.35">
      <c r="A6" s="14" t="s">
        <v>1</v>
      </c>
      <c r="B6" s="16">
        <v>4.7500000000000001E-2</v>
      </c>
      <c r="D6" s="7" t="s">
        <v>2</v>
      </c>
      <c r="E6" s="38">
        <v>72.400000000000006</v>
      </c>
      <c r="G6" s="19" t="s">
        <v>34</v>
      </c>
      <c r="H6" s="28">
        <v>5</v>
      </c>
    </row>
    <row r="7" spans="1:8" ht="14.5" x14ac:dyDescent="0.35">
      <c r="A7" s="14" t="s">
        <v>3</v>
      </c>
      <c r="B7" s="17">
        <v>50000</v>
      </c>
      <c r="D7" s="7" t="s">
        <v>6</v>
      </c>
      <c r="E7" s="8">
        <v>2.35E-2</v>
      </c>
      <c r="G7" s="7" t="s">
        <v>2</v>
      </c>
      <c r="H7" s="23">
        <v>26.25</v>
      </c>
    </row>
    <row r="8" spans="1:8" ht="14.5" x14ac:dyDescent="0.35">
      <c r="A8" s="19" t="s">
        <v>35</v>
      </c>
      <c r="B8" s="28">
        <v>51250</v>
      </c>
      <c r="G8" s="7" t="s">
        <v>6</v>
      </c>
      <c r="H8" s="44">
        <v>2.2499999999999999E-2</v>
      </c>
    </row>
    <row r="9" spans="1:8" ht="14.5" x14ac:dyDescent="0.35">
      <c r="A9" s="7" t="s">
        <v>6</v>
      </c>
      <c r="B9" s="8">
        <v>1.6500000000000001E-2</v>
      </c>
      <c r="G9" s="7" t="s">
        <v>19</v>
      </c>
      <c r="H9" s="24">
        <v>1.45</v>
      </c>
    </row>
    <row r="10" spans="1:8" ht="14.5" x14ac:dyDescent="0.35">
      <c r="A10" s="14" t="s">
        <v>4</v>
      </c>
      <c r="B10" s="18">
        <v>4</v>
      </c>
      <c r="G10" s="7" t="s">
        <v>20</v>
      </c>
      <c r="H10" s="44">
        <v>4.4999999999999998E-2</v>
      </c>
    </row>
    <row r="11" spans="1:8" ht="14.5" x14ac:dyDescent="0.35">
      <c r="A11" s="19" t="s">
        <v>8</v>
      </c>
      <c r="B11" s="19">
        <v>0</v>
      </c>
      <c r="C11" s="4"/>
      <c r="G11" s="7" t="s">
        <v>47</v>
      </c>
      <c r="H11" s="44">
        <v>0.16500000000000001</v>
      </c>
    </row>
    <row r="12" spans="1:8" x14ac:dyDescent="0.3">
      <c r="A12" s="14" t="s">
        <v>10</v>
      </c>
      <c r="B12" s="20">
        <v>0.3</v>
      </c>
    </row>
    <row r="14" spans="1:8" ht="14.5" x14ac:dyDescent="0.35">
      <c r="A14" s="9" t="s">
        <v>9</v>
      </c>
      <c r="B14" s="10">
        <f>YIELD(B4,B5,B6,B8*(1-B9)/500,B7*(1+B11)/500,B10,0)</f>
        <v>4.6779020524258634E-2</v>
      </c>
      <c r="D14" s="9" t="s">
        <v>13</v>
      </c>
      <c r="E14" s="10">
        <f>E4/(E6*(1-E7))</f>
        <v>4.9505930810511092E-2</v>
      </c>
      <c r="G14" s="9" t="s">
        <v>22</v>
      </c>
      <c r="H14" s="10">
        <f>H10+H9*(H11 - H10)</f>
        <v>0.21900000000000003</v>
      </c>
    </row>
    <row r="15" spans="1:8" ht="14.5" x14ac:dyDescent="0.35">
      <c r="A15" s="9" t="s">
        <v>7</v>
      </c>
      <c r="B15" s="11">
        <f>B14*(1-B12)</f>
        <v>3.274531436698104E-2</v>
      </c>
      <c r="G15" s="9" t="s">
        <v>23</v>
      </c>
      <c r="H15" s="21">
        <f>H4/(H7*(1-H8))+H5</f>
        <v>0.10812629399585921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1500000</v>
      </c>
      <c r="C20" s="27">
        <f>B20*H6</f>
        <v>7500000</v>
      </c>
      <c r="D20" s="27">
        <f>B20*H7</f>
        <v>39375000</v>
      </c>
      <c r="E20" s="3">
        <f>C20/$C$23</f>
        <v>2.4390243902439025E-2</v>
      </c>
      <c r="F20" s="3">
        <f>D20/$D$23</f>
        <v>0.10699001426533523</v>
      </c>
    </row>
    <row r="21" spans="1:6" ht="14.5" x14ac:dyDescent="0.35">
      <c r="A21" t="s">
        <v>31</v>
      </c>
      <c r="B21" s="26">
        <f>E3</f>
        <v>1000000</v>
      </c>
      <c r="C21" s="27">
        <f>B21*E5</f>
        <v>50000000</v>
      </c>
      <c r="D21" s="27">
        <f>B21*E6</f>
        <v>72400000</v>
      </c>
      <c r="E21" s="3">
        <f t="shared" ref="E21:E22" si="0">C21/$C$23</f>
        <v>0.16260162601626016</v>
      </c>
      <c r="F21" s="3">
        <f t="shared" ref="F21:F22" si="1">D21/$D$23</f>
        <v>0.19672576591264179</v>
      </c>
    </row>
    <row r="22" spans="1:6" ht="15" thickBot="1" x14ac:dyDescent="0.4">
      <c r="A22" t="s">
        <v>32</v>
      </c>
      <c r="B22" s="26">
        <f>B3</f>
        <v>5000</v>
      </c>
      <c r="C22" s="27">
        <f>B22*B7</f>
        <v>250000000</v>
      </c>
      <c r="D22" s="27">
        <f>B22*B8</f>
        <v>256250000</v>
      </c>
      <c r="E22" s="3">
        <f t="shared" si="0"/>
        <v>0.81300813008130079</v>
      </c>
      <c r="F22" s="3">
        <f t="shared" si="1"/>
        <v>0.69628421982202293</v>
      </c>
    </row>
    <row r="23" spans="1:6" ht="14.5" x14ac:dyDescent="0.35">
      <c r="A23" s="29" t="s">
        <v>33</v>
      </c>
      <c r="B23" s="30"/>
      <c r="C23" s="31">
        <f>SUM(C20:C22)</f>
        <v>307500000</v>
      </c>
      <c r="D23" s="31">
        <f>SUM(D20:D22)</f>
        <v>368025000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4.001341506429533E-2</v>
      </c>
      <c r="C27" s="36">
        <f>(F20*$H$14)+(F21*$E$14)+(F22*$B$15)</f>
        <v>5.5969950946864744E-2</v>
      </c>
      <c r="D27" s="36">
        <f>(E20*$H$15)+(E21*$E$14)+(E22*$B$15)</f>
        <v>3.7309178332487022E-2</v>
      </c>
      <c r="E27" s="36">
        <f>(F20*$H$15)+(F21*$E$14)+(F22*$B$15)</f>
        <v>4.4107571559831124E-2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367-F82A-49B5-9123-F62A78CB6EE7}">
  <dimension ref="A1:H27"/>
  <sheetViews>
    <sheetView topLeftCell="C1" zoomScale="115" zoomScaleNormal="115" workbookViewId="0">
      <selection activeCell="H6" sqref="H6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2.90625" style="1" bestFit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4.363281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49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7500</v>
      </c>
      <c r="D3" s="39" t="s">
        <v>42</v>
      </c>
      <c r="E3" s="41">
        <v>100000</v>
      </c>
      <c r="G3" s="40" t="s">
        <v>43</v>
      </c>
      <c r="H3" s="41">
        <v>12500000</v>
      </c>
    </row>
    <row r="4" spans="1:8" ht="17" x14ac:dyDescent="0.45">
      <c r="A4" s="14" t="s">
        <v>0</v>
      </c>
      <c r="B4" s="15">
        <v>42781</v>
      </c>
      <c r="D4" s="7" t="s">
        <v>12</v>
      </c>
      <c r="E4" s="38">
        <v>12.5</v>
      </c>
      <c r="G4" s="7" t="s">
        <v>17</v>
      </c>
      <c r="H4" s="38">
        <v>0.65</v>
      </c>
    </row>
    <row r="5" spans="1:8" ht="14.5" x14ac:dyDescent="0.35">
      <c r="A5" s="14" t="s">
        <v>5</v>
      </c>
      <c r="B5" s="15">
        <v>47710</v>
      </c>
      <c r="D5" s="7" t="s">
        <v>3</v>
      </c>
      <c r="E5" s="38">
        <v>100</v>
      </c>
      <c r="G5" s="7" t="s">
        <v>18</v>
      </c>
      <c r="H5" s="45">
        <v>7.4999999999999997E-2</v>
      </c>
    </row>
    <row r="6" spans="1:8" ht="14.5" x14ac:dyDescent="0.35">
      <c r="A6" s="14" t="s">
        <v>1</v>
      </c>
      <c r="B6" s="16">
        <v>4.7500000000000001E-2</v>
      </c>
      <c r="D6" s="7" t="s">
        <v>2</v>
      </c>
      <c r="E6" s="38">
        <v>112.25</v>
      </c>
      <c r="G6" s="19" t="s">
        <v>34</v>
      </c>
      <c r="H6" s="28">
        <v>5</v>
      </c>
    </row>
    <row r="7" spans="1:8" ht="14.5" x14ac:dyDescent="0.35">
      <c r="A7" s="14" t="s">
        <v>3</v>
      </c>
      <c r="B7" s="17">
        <v>10000</v>
      </c>
      <c r="D7" s="7" t="s">
        <v>6</v>
      </c>
      <c r="E7" s="8">
        <v>2.5000000000000001E-2</v>
      </c>
      <c r="G7" s="7" t="s">
        <v>2</v>
      </c>
      <c r="H7" s="23">
        <v>16.25</v>
      </c>
    </row>
    <row r="8" spans="1:8" ht="14.5" x14ac:dyDescent="0.35">
      <c r="A8" s="19" t="s">
        <v>35</v>
      </c>
      <c r="B8" s="28">
        <v>12150</v>
      </c>
      <c r="G8" s="7" t="s">
        <v>6</v>
      </c>
      <c r="H8" s="22">
        <v>3.5000000000000003E-2</v>
      </c>
    </row>
    <row r="9" spans="1:8" ht="14.5" x14ac:dyDescent="0.35">
      <c r="A9" s="7" t="s">
        <v>6</v>
      </c>
      <c r="B9" s="8">
        <v>3.15E-2</v>
      </c>
      <c r="G9" s="7" t="s">
        <v>19</v>
      </c>
      <c r="H9" s="24">
        <v>0.9</v>
      </c>
    </row>
    <row r="10" spans="1:8" ht="14.5" x14ac:dyDescent="0.35">
      <c r="A10" s="14" t="s">
        <v>4</v>
      </c>
      <c r="B10" s="18">
        <v>2</v>
      </c>
      <c r="G10" s="7" t="s">
        <v>20</v>
      </c>
      <c r="H10" s="44">
        <v>4.4999999999999998E-2</v>
      </c>
    </row>
    <row r="11" spans="1:8" ht="14.5" x14ac:dyDescent="0.35">
      <c r="A11" s="19" t="s">
        <v>8</v>
      </c>
      <c r="B11" s="19">
        <v>0</v>
      </c>
      <c r="C11" s="4"/>
      <c r="G11" s="7" t="s">
        <v>47</v>
      </c>
      <c r="H11" s="44">
        <v>0.17</v>
      </c>
    </row>
    <row r="12" spans="1:8" x14ac:dyDescent="0.3">
      <c r="A12" s="14" t="s">
        <v>10</v>
      </c>
      <c r="B12" s="20">
        <v>0.35</v>
      </c>
    </row>
    <row r="14" spans="1:8" ht="14.5" x14ac:dyDescent="0.35">
      <c r="A14" s="9" t="s">
        <v>9</v>
      </c>
      <c r="B14" s="10">
        <f>YIELD(B4,B5,B6,B8*(1-B9)/100,B7*(1+B11)/100,B10,0)</f>
        <v>3.1343854566940291E-2</v>
      </c>
      <c r="D14" s="9" t="s">
        <v>13</v>
      </c>
      <c r="E14" s="10">
        <f>E4/(E6*(1-E7))</f>
        <v>0.11421392267717435</v>
      </c>
      <c r="G14" s="9" t="s">
        <v>22</v>
      </c>
      <c r="H14" s="10">
        <f>H10+H9*(H11 - H10)</f>
        <v>0.1575</v>
      </c>
    </row>
    <row r="15" spans="1:8" ht="14.5" x14ac:dyDescent="0.35">
      <c r="A15" s="9" t="s">
        <v>7</v>
      </c>
      <c r="B15" s="11">
        <f>B14*(1-B12)</f>
        <v>2.0373505468511188E-2</v>
      </c>
      <c r="G15" s="9" t="s">
        <v>23</v>
      </c>
      <c r="H15" s="21">
        <f>H4/(H7*(1-H8))+H5</f>
        <v>0.11645077720207253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12500000</v>
      </c>
      <c r="C20" s="27">
        <f>B20*H6</f>
        <v>62500000</v>
      </c>
      <c r="D20" s="27">
        <f>B20*H7</f>
        <v>203125000</v>
      </c>
      <c r="E20" s="3">
        <f>C20/$C$23</f>
        <v>0.42372881355932202</v>
      </c>
      <c r="F20" s="3">
        <f>D20/$D$23</f>
        <v>0.664948031753826</v>
      </c>
    </row>
    <row r="21" spans="1:6" ht="14.5" x14ac:dyDescent="0.35">
      <c r="A21" t="s">
        <v>31</v>
      </c>
      <c r="B21" s="26">
        <f>E3</f>
        <v>100000</v>
      </c>
      <c r="C21" s="27">
        <f>B21*E5</f>
        <v>10000000</v>
      </c>
      <c r="D21" s="27">
        <f>B21*E6</f>
        <v>11225000</v>
      </c>
      <c r="E21" s="3">
        <f t="shared" ref="E21:E22" si="0">C21/$C$23</f>
        <v>6.7796610169491525E-2</v>
      </c>
      <c r="F21" s="3">
        <f t="shared" ref="F21:F22" si="1">D21/$D$23</f>
        <v>3.6746051231688351E-2</v>
      </c>
    </row>
    <row r="22" spans="1:6" ht="15" thickBot="1" x14ac:dyDescent="0.4">
      <c r="A22" t="s">
        <v>32</v>
      </c>
      <c r="B22" s="26">
        <f>B3</f>
        <v>7500</v>
      </c>
      <c r="C22" s="27">
        <f>B22*B7</f>
        <v>75000000</v>
      </c>
      <c r="D22" s="27">
        <f>B22*B8</f>
        <v>91125000</v>
      </c>
      <c r="E22" s="3">
        <f t="shared" si="0"/>
        <v>0.50847457627118642</v>
      </c>
      <c r="F22" s="3">
        <f t="shared" si="1"/>
        <v>0.29830591701448561</v>
      </c>
    </row>
    <row r="23" spans="1:6" ht="14.5" x14ac:dyDescent="0.35">
      <c r="A23" s="29" t="s">
        <v>33</v>
      </c>
      <c r="B23" s="30"/>
      <c r="C23" s="31">
        <f>SUM(C20:C22)</f>
        <v>147500000</v>
      </c>
      <c r="D23" s="31">
        <f>SUM(D20:D22)</f>
        <v>305475000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8.4840014487525983E-2</v>
      </c>
      <c r="C27" s="36">
        <f>(F20*$H$14)+(F21*$E$14)+(F22*$B$15)</f>
        <v>0.115003762886879</v>
      </c>
      <c r="D27" s="36">
        <f>(E20*$H$15)+(E21*$E$14)+(E22*$B$15)</f>
        <v>6.7446276013827897E-2</v>
      </c>
      <c r="E27" s="36">
        <f>(F20*$H$15)+(F21*$E$14)+(F22*$B$15)</f>
        <v>8.7708162982372842E-2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307A-2DA3-460D-9AF2-982E2DFAD44A}">
  <dimension ref="A1:H27"/>
  <sheetViews>
    <sheetView zoomScale="115" zoomScaleNormal="115" workbookViewId="0">
      <selection activeCell="B5" sqref="B5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2.90625" style="1" bestFit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4.363281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50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2500</v>
      </c>
      <c r="D3" s="39" t="s">
        <v>42</v>
      </c>
      <c r="E3" s="41">
        <v>50000</v>
      </c>
      <c r="G3" s="40" t="s">
        <v>43</v>
      </c>
      <c r="H3" s="41">
        <v>12500000</v>
      </c>
    </row>
    <row r="4" spans="1:8" ht="17" x14ac:dyDescent="0.45">
      <c r="A4" s="14" t="s">
        <v>0</v>
      </c>
      <c r="B4" s="15">
        <v>43146</v>
      </c>
      <c r="D4" s="7" t="s">
        <v>12</v>
      </c>
      <c r="E4" s="38">
        <v>4.5</v>
      </c>
      <c r="G4" s="7" t="s">
        <v>17</v>
      </c>
      <c r="H4" s="38">
        <v>0.55000000000000004</v>
      </c>
    </row>
    <row r="5" spans="1:8" ht="14.5" x14ac:dyDescent="0.35">
      <c r="A5" s="14" t="s">
        <v>5</v>
      </c>
      <c r="B5" s="15">
        <v>45884</v>
      </c>
      <c r="D5" s="7" t="s">
        <v>3</v>
      </c>
      <c r="E5" s="38">
        <v>25</v>
      </c>
      <c r="G5" s="7" t="s">
        <v>18</v>
      </c>
      <c r="H5" s="22">
        <v>0.06</v>
      </c>
    </row>
    <row r="6" spans="1:8" ht="14.5" x14ac:dyDescent="0.35">
      <c r="A6" s="14" t="s">
        <v>1</v>
      </c>
      <c r="B6" s="16">
        <v>6.25E-2</v>
      </c>
      <c r="D6" s="7" t="s">
        <v>2</v>
      </c>
      <c r="E6" s="38">
        <v>37.5</v>
      </c>
      <c r="G6" s="19" t="s">
        <v>34</v>
      </c>
      <c r="H6" s="28">
        <v>5</v>
      </c>
    </row>
    <row r="7" spans="1:8" ht="14.5" x14ac:dyDescent="0.35">
      <c r="A7" s="14" t="s">
        <v>3</v>
      </c>
      <c r="B7" s="17">
        <v>100000</v>
      </c>
      <c r="D7" s="7" t="s">
        <v>6</v>
      </c>
      <c r="E7" s="8">
        <v>0</v>
      </c>
      <c r="G7" s="7" t="s">
        <v>2</v>
      </c>
      <c r="H7" s="23">
        <v>22.35</v>
      </c>
    </row>
    <row r="8" spans="1:8" ht="14.5" x14ac:dyDescent="0.35">
      <c r="A8" s="19" t="s">
        <v>35</v>
      </c>
      <c r="B8" s="28">
        <v>104250</v>
      </c>
      <c r="G8" s="7" t="s">
        <v>6</v>
      </c>
      <c r="H8" s="22">
        <v>2.1499999999999998E-2</v>
      </c>
    </row>
    <row r="9" spans="1:8" ht="14.5" x14ac:dyDescent="0.35">
      <c r="A9" s="7" t="s">
        <v>6</v>
      </c>
      <c r="B9" s="8">
        <v>1.7500000000000002E-2</v>
      </c>
      <c r="G9" s="7" t="s">
        <v>19</v>
      </c>
      <c r="H9" s="24">
        <v>0.85</v>
      </c>
    </row>
    <row r="10" spans="1:8" ht="14.5" x14ac:dyDescent="0.35">
      <c r="A10" s="14" t="s">
        <v>4</v>
      </c>
      <c r="B10" s="18">
        <v>4</v>
      </c>
      <c r="G10" s="7" t="s">
        <v>20</v>
      </c>
      <c r="H10" s="44">
        <v>3.2500000000000001E-2</v>
      </c>
    </row>
    <row r="11" spans="1:8" ht="14.5" x14ac:dyDescent="0.35">
      <c r="A11" s="19" t="s">
        <v>8</v>
      </c>
      <c r="B11" s="19">
        <v>0</v>
      </c>
      <c r="C11" s="4"/>
      <c r="G11" s="7" t="s">
        <v>21</v>
      </c>
      <c r="H11" s="44">
        <v>0.16</v>
      </c>
    </row>
    <row r="12" spans="1:8" x14ac:dyDescent="0.3">
      <c r="A12" s="14" t="s">
        <v>10</v>
      </c>
      <c r="B12" s="20">
        <v>0.3</v>
      </c>
    </row>
    <row r="14" spans="1:8" ht="14.5" x14ac:dyDescent="0.35">
      <c r="A14" s="9" t="s">
        <v>9</v>
      </c>
      <c r="B14" s="10">
        <f>YIELD(B4,B5,B6,B8*(1-B9)/1000,B7*(1+B11)/1000,B10,0)</f>
        <v>5.8481663156159124E-2</v>
      </c>
      <c r="D14" s="9" t="s">
        <v>13</v>
      </c>
      <c r="E14" s="10">
        <f>E4/(E6*(1-E7))</f>
        <v>0.12</v>
      </c>
      <c r="G14" s="9" t="s">
        <v>22</v>
      </c>
      <c r="H14" s="10">
        <f>H10+H9*(H11 - H10)</f>
        <v>0.140875</v>
      </c>
    </row>
    <row r="15" spans="1:8" ht="14.5" x14ac:dyDescent="0.35">
      <c r="A15" s="9" t="s">
        <v>7</v>
      </c>
      <c r="B15" s="11">
        <f>B14*(1-B12)</f>
        <v>4.0937164209311386E-2</v>
      </c>
      <c r="G15" s="9" t="s">
        <v>23</v>
      </c>
      <c r="H15" s="21">
        <f>H4/(H7*(1-H8))+H5</f>
        <v>8.5149209114530638E-2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12500000</v>
      </c>
      <c r="C20" s="27">
        <f>B20*H6</f>
        <v>62500000</v>
      </c>
      <c r="D20" s="27">
        <f>B20*H7</f>
        <v>279375000</v>
      </c>
      <c r="E20" s="3">
        <f>C20/$C$23</f>
        <v>0.19920318725099601</v>
      </c>
      <c r="F20" s="3">
        <f>D20/$D$23</f>
        <v>0.51557093425605538</v>
      </c>
    </row>
    <row r="21" spans="1:6" ht="14.5" x14ac:dyDescent="0.35">
      <c r="A21" t="s">
        <v>31</v>
      </c>
      <c r="B21" s="26">
        <f>E3</f>
        <v>50000</v>
      </c>
      <c r="C21" s="27">
        <f>B21*E5</f>
        <v>1250000</v>
      </c>
      <c r="D21" s="27">
        <f>B21*E6</f>
        <v>1875000</v>
      </c>
      <c r="E21" s="3">
        <f t="shared" ref="E21:E22" si="0">C21/$C$23</f>
        <v>3.9840637450199202E-3</v>
      </c>
      <c r="F21" s="3">
        <f t="shared" ref="F21:F22" si="1">D21/$D$23</f>
        <v>3.4602076124567475E-3</v>
      </c>
    </row>
    <row r="22" spans="1:6" ht="15" thickBot="1" x14ac:dyDescent="0.4">
      <c r="A22" t="s">
        <v>32</v>
      </c>
      <c r="B22" s="26">
        <f>B3</f>
        <v>2500</v>
      </c>
      <c r="C22" s="27">
        <f>B22*B7</f>
        <v>250000000</v>
      </c>
      <c r="D22" s="27">
        <f>B22*B8</f>
        <v>260625000</v>
      </c>
      <c r="E22" s="3">
        <f t="shared" si="0"/>
        <v>0.79681274900398402</v>
      </c>
      <c r="F22" s="3">
        <f t="shared" si="1"/>
        <v>0.48096885813148788</v>
      </c>
    </row>
    <row r="23" spans="1:6" ht="14.5" x14ac:dyDescent="0.35">
      <c r="A23" s="29" t="s">
        <v>33</v>
      </c>
      <c r="B23" s="30"/>
      <c r="C23" s="31">
        <f>SUM(C20:C22)</f>
        <v>313750000</v>
      </c>
      <c r="D23" s="31">
        <f>SUM(D20:D22)</f>
        <v>541875000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6.1160091003435363E-2</v>
      </c>
      <c r="C27" s="36">
        <f>(F20*$H$14)+(F21*$E$14)+(F22*$B$15)</f>
        <v>9.2735781401710321E-2</v>
      </c>
      <c r="D27" s="36">
        <f>(E20*$H$15)+(E21*$E$14)+(E22*$B$15)</f>
        <v>5.0059335846967368E-2</v>
      </c>
      <c r="E27" s="36">
        <f>(F20*$H$15)+(F21*$E$14)+(F22*$B$15)</f>
        <v>6.4005183332731308E-2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3579-DF8E-436A-92AF-8CCF7A515D27}">
  <dimension ref="A1:H27"/>
  <sheetViews>
    <sheetView zoomScale="115" zoomScaleNormal="115" workbookViewId="0">
      <selection activeCell="B5" sqref="B5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2.90625" style="1" bestFit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51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1000</v>
      </c>
      <c r="D3" s="39" t="s">
        <v>42</v>
      </c>
      <c r="E3" s="41">
        <v>5000</v>
      </c>
      <c r="G3" s="40" t="s">
        <v>43</v>
      </c>
      <c r="H3" s="41">
        <v>5000000</v>
      </c>
    </row>
    <row r="4" spans="1:8" ht="17" x14ac:dyDescent="0.45">
      <c r="A4" s="14" t="s">
        <v>0</v>
      </c>
      <c r="B4" s="15">
        <v>42050</v>
      </c>
      <c r="D4" s="7" t="s">
        <v>12</v>
      </c>
      <c r="E4" s="38">
        <v>4.25</v>
      </c>
      <c r="G4" s="7" t="s">
        <v>17</v>
      </c>
      <c r="H4" s="38">
        <v>0.65</v>
      </c>
    </row>
    <row r="5" spans="1:8" ht="14.5" x14ac:dyDescent="0.35">
      <c r="A5" s="14" t="s">
        <v>5</v>
      </c>
      <c r="B5" s="15">
        <v>45884</v>
      </c>
      <c r="D5" s="7" t="s">
        <v>3</v>
      </c>
      <c r="E5" s="38">
        <v>100</v>
      </c>
      <c r="G5" s="7" t="s">
        <v>18</v>
      </c>
      <c r="H5" s="22">
        <v>0.06</v>
      </c>
    </row>
    <row r="6" spans="1:8" ht="14.5" x14ac:dyDescent="0.35">
      <c r="A6" s="14" t="s">
        <v>1</v>
      </c>
      <c r="B6" s="16">
        <v>6.25E-2</v>
      </c>
      <c r="D6" s="7" t="s">
        <v>2</v>
      </c>
      <c r="E6" s="38">
        <v>112.5</v>
      </c>
      <c r="G6" s="19" t="s">
        <v>34</v>
      </c>
      <c r="H6" s="28">
        <v>5</v>
      </c>
    </row>
    <row r="7" spans="1:8" ht="14.5" x14ac:dyDescent="0.35">
      <c r="A7" s="14" t="s">
        <v>3</v>
      </c>
      <c r="B7" s="17">
        <v>25000</v>
      </c>
      <c r="D7" s="7" t="s">
        <v>6</v>
      </c>
      <c r="E7" s="8">
        <v>2.75E-2</v>
      </c>
      <c r="G7" s="7" t="s">
        <v>2</v>
      </c>
      <c r="H7" s="23">
        <v>17.5</v>
      </c>
    </row>
    <row r="8" spans="1:8" ht="14.5" x14ac:dyDescent="0.35">
      <c r="A8" s="19" t="s">
        <v>35</v>
      </c>
      <c r="B8" s="28">
        <v>26250</v>
      </c>
      <c r="G8" s="7" t="s">
        <v>6</v>
      </c>
      <c r="H8" s="22">
        <v>2.1499999999999998E-2</v>
      </c>
    </row>
    <row r="9" spans="1:8" ht="14.5" x14ac:dyDescent="0.35">
      <c r="A9" s="7" t="s">
        <v>6</v>
      </c>
      <c r="B9" s="8">
        <v>3.2500000000000001E-2</v>
      </c>
      <c r="G9" s="7" t="s">
        <v>19</v>
      </c>
      <c r="H9" s="24">
        <v>1.1000000000000001</v>
      </c>
    </row>
    <row r="10" spans="1:8" ht="14.5" x14ac:dyDescent="0.35">
      <c r="A10" s="14" t="s">
        <v>4</v>
      </c>
      <c r="B10" s="18">
        <v>4</v>
      </c>
      <c r="G10" s="7" t="s">
        <v>20</v>
      </c>
      <c r="H10" s="44">
        <v>4.2500000000000003E-2</v>
      </c>
    </row>
    <row r="11" spans="1:8" ht="14.5" x14ac:dyDescent="0.35">
      <c r="A11" s="19" t="s">
        <v>8</v>
      </c>
      <c r="B11" s="19">
        <v>0</v>
      </c>
      <c r="C11" s="4"/>
      <c r="G11" s="7" t="s">
        <v>21</v>
      </c>
      <c r="H11" s="44">
        <v>0.17499999999999999</v>
      </c>
    </row>
    <row r="12" spans="1:8" x14ac:dyDescent="0.3">
      <c r="A12" s="14" t="s">
        <v>10</v>
      </c>
      <c r="B12" s="20">
        <v>0.3</v>
      </c>
    </row>
    <row r="14" spans="1:8" ht="14.5" x14ac:dyDescent="0.35">
      <c r="A14" s="9" t="s">
        <v>9</v>
      </c>
      <c r="B14" s="10">
        <f>YIELD(B4,B5,B6,B8*(1-B9)/250,B7*(1+B11)/250,B10,0)</f>
        <v>6.0446858951694743E-2</v>
      </c>
      <c r="D14" s="9" t="s">
        <v>13</v>
      </c>
      <c r="E14" s="10">
        <f>E4/(E6*(1-E7))</f>
        <v>3.8846043987432161E-2</v>
      </c>
      <c r="G14" s="9" t="s">
        <v>22</v>
      </c>
      <c r="H14" s="10">
        <f>H10+H9*(H11 - H10)</f>
        <v>0.18825</v>
      </c>
    </row>
    <row r="15" spans="1:8" ht="14.5" x14ac:dyDescent="0.35">
      <c r="A15" s="9" t="s">
        <v>7</v>
      </c>
      <c r="B15" s="11">
        <f>B14*(1-B12)</f>
        <v>4.231280126618632E-2</v>
      </c>
      <c r="G15" s="9" t="s">
        <v>23</v>
      </c>
      <c r="H15" s="21">
        <f>H4/(H7*(1-H8))+H5</f>
        <v>9.7958975107672097E-2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5000000</v>
      </c>
      <c r="C20" s="27">
        <f>B20*H6</f>
        <v>25000000</v>
      </c>
      <c r="D20" s="27">
        <f>B20*H7</f>
        <v>87500000</v>
      </c>
      <c r="E20" s="3">
        <f>C20/$C$23</f>
        <v>0.49504950495049505</v>
      </c>
      <c r="F20" s="3">
        <f>D20/$D$23</f>
        <v>0.76544559868780759</v>
      </c>
    </row>
    <row r="21" spans="1:6" ht="14.5" x14ac:dyDescent="0.35">
      <c r="A21" t="s">
        <v>31</v>
      </c>
      <c r="B21" s="26">
        <f>E3</f>
        <v>5000</v>
      </c>
      <c r="C21" s="27">
        <f>B21*E5</f>
        <v>500000</v>
      </c>
      <c r="D21" s="27">
        <f>B21*E6</f>
        <v>562500</v>
      </c>
      <c r="E21" s="3">
        <f t="shared" ref="E21:E22" si="0">C21/$C$23</f>
        <v>9.9009900990099011E-3</v>
      </c>
      <c r="F21" s="3">
        <f t="shared" ref="F21:F22" si="1">D21/$D$23</f>
        <v>4.9207217058501911E-3</v>
      </c>
    </row>
    <row r="22" spans="1:6" ht="15" thickBot="1" x14ac:dyDescent="0.4">
      <c r="A22" t="s">
        <v>32</v>
      </c>
      <c r="B22" s="26">
        <f>B3</f>
        <v>1000</v>
      </c>
      <c r="C22" s="27">
        <f>B22*B7</f>
        <v>25000000</v>
      </c>
      <c r="D22" s="27">
        <f>B22*B8</f>
        <v>26250000</v>
      </c>
      <c r="E22" s="3">
        <f t="shared" si="0"/>
        <v>0.49504950495049505</v>
      </c>
      <c r="F22" s="3">
        <f t="shared" si="1"/>
        <v>0.22963367960634226</v>
      </c>
    </row>
    <row r="23" spans="1:6" ht="14.5" x14ac:dyDescent="0.35">
      <c r="A23" s="29" t="s">
        <v>33</v>
      </c>
      <c r="B23" s="30"/>
      <c r="C23" s="31">
        <f>SUM(C20:C22)</f>
        <v>50500000</v>
      </c>
      <c r="D23" s="31">
        <f>SUM(D20:D22)</f>
        <v>114312500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0.11452461492373017</v>
      </c>
      <c r="C27" s="36">
        <f>(F20*$H$14)+(F21*$E$14)+(F22*$B$15)</f>
        <v>0.15400272877402141</v>
      </c>
      <c r="D27" s="36">
        <f>(E20*$H$15)+(E21*$E$14)+(E22*$B$15)</f>
        <v>6.9826087749310428E-2</v>
      </c>
      <c r="E27" s="36">
        <f>(F20*$H$15)+(F21*$E$14)+(F22*$B$15)</f>
        <v>8.4889861169177738E-2</v>
      </c>
    </row>
  </sheetData>
  <mergeCells count="2">
    <mergeCell ref="B25:C25"/>
    <mergeCell ref="D25:E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5F4D-D50E-4AFF-8302-743FF299A9ED}">
  <dimension ref="A1:H27"/>
  <sheetViews>
    <sheetView tabSelected="1" topLeftCell="C1" zoomScale="115" zoomScaleNormal="115" workbookViewId="0">
      <selection activeCell="H6" sqref="H6"/>
    </sheetView>
  </sheetViews>
  <sheetFormatPr defaultRowHeight="14" x14ac:dyDescent="0.3"/>
  <cols>
    <col min="1" max="1" width="35.54296875" style="1" bestFit="1" customWidth="1"/>
    <col min="2" max="2" width="20.90625" style="1" customWidth="1"/>
    <col min="3" max="3" width="22.90625" style="1" bestFit="1" customWidth="1"/>
    <col min="4" max="4" width="24.453125" style="1" customWidth="1"/>
    <col min="5" max="5" width="22.90625" style="1" customWidth="1"/>
    <col min="6" max="6" width="11.54296875" style="1" bestFit="1" customWidth="1"/>
    <col min="7" max="7" width="33.453125" style="1" customWidth="1"/>
    <col min="8" max="8" width="12.7265625" style="1" bestFit="1" customWidth="1"/>
    <col min="9" max="16384" width="8.7265625" style="1"/>
  </cols>
  <sheetData>
    <row r="1" spans="1:8" ht="14.5" thickBot="1" x14ac:dyDescent="0.35">
      <c r="A1" s="1" t="s">
        <v>15</v>
      </c>
      <c r="B1" s="43" t="s">
        <v>52</v>
      </c>
    </row>
    <row r="2" spans="1:8" ht="15" thickBot="1" x14ac:dyDescent="0.4">
      <c r="A2" s="12" t="s">
        <v>14</v>
      </c>
      <c r="B2" s="13"/>
      <c r="D2" s="5" t="s">
        <v>11</v>
      </c>
      <c r="E2" s="6"/>
      <c r="G2" s="5" t="s">
        <v>16</v>
      </c>
      <c r="H2" s="6"/>
    </row>
    <row r="3" spans="1:8" ht="14.5" x14ac:dyDescent="0.35">
      <c r="A3" s="37" t="s">
        <v>41</v>
      </c>
      <c r="B3" s="42">
        <v>10000</v>
      </c>
      <c r="D3" s="39" t="s">
        <v>42</v>
      </c>
      <c r="E3" s="41">
        <v>75000</v>
      </c>
      <c r="G3" s="40" t="s">
        <v>43</v>
      </c>
      <c r="H3" s="41">
        <v>2000000</v>
      </c>
    </row>
    <row r="4" spans="1:8" ht="17" x14ac:dyDescent="0.45">
      <c r="A4" s="14" t="s">
        <v>0</v>
      </c>
      <c r="B4" s="15">
        <v>43511</v>
      </c>
      <c r="D4" s="7" t="s">
        <v>12</v>
      </c>
      <c r="E4" s="38">
        <v>75.25</v>
      </c>
      <c r="G4" s="7" t="s">
        <v>17</v>
      </c>
      <c r="H4" s="38">
        <v>0.65</v>
      </c>
    </row>
    <row r="5" spans="1:8" ht="14.5" x14ac:dyDescent="0.35">
      <c r="A5" s="14" t="s">
        <v>5</v>
      </c>
      <c r="B5" s="15">
        <v>47345</v>
      </c>
      <c r="D5" s="7" t="s">
        <v>3</v>
      </c>
      <c r="E5" s="38">
        <v>1000</v>
      </c>
      <c r="G5" s="7" t="s">
        <v>18</v>
      </c>
      <c r="H5" s="22">
        <v>6.7500000000000004E-2</v>
      </c>
    </row>
    <row r="6" spans="1:8" ht="14.5" x14ac:dyDescent="0.35">
      <c r="A6" s="14" t="s">
        <v>1</v>
      </c>
      <c r="B6" s="16">
        <v>4.7500000000000001E-2</v>
      </c>
      <c r="D6" s="7" t="s">
        <v>2</v>
      </c>
      <c r="E6" s="38">
        <v>1125</v>
      </c>
      <c r="G6" s="19" t="s">
        <v>34</v>
      </c>
      <c r="H6" s="28">
        <v>5</v>
      </c>
    </row>
    <row r="7" spans="1:8" ht="14.5" x14ac:dyDescent="0.35">
      <c r="A7" s="14" t="s">
        <v>3</v>
      </c>
      <c r="B7" s="17">
        <v>5000</v>
      </c>
      <c r="D7" s="7" t="s">
        <v>6</v>
      </c>
      <c r="E7" s="8">
        <v>2.6499999999999999E-2</v>
      </c>
      <c r="G7" s="7" t="s">
        <v>2</v>
      </c>
      <c r="H7" s="23">
        <v>28.65</v>
      </c>
    </row>
    <row r="8" spans="1:8" ht="14.5" x14ac:dyDescent="0.35">
      <c r="A8" s="19" t="s">
        <v>35</v>
      </c>
      <c r="B8" s="28">
        <v>5125</v>
      </c>
      <c r="G8" s="7" t="s">
        <v>6</v>
      </c>
      <c r="H8" s="22">
        <v>2.6499999999999999E-2</v>
      </c>
    </row>
    <row r="9" spans="1:8" ht="14.5" x14ac:dyDescent="0.35">
      <c r="A9" s="7" t="s">
        <v>6</v>
      </c>
      <c r="B9" s="8">
        <v>1.7500000000000002E-2</v>
      </c>
      <c r="G9" s="7" t="s">
        <v>19</v>
      </c>
      <c r="H9" s="24">
        <v>1.35</v>
      </c>
    </row>
    <row r="10" spans="1:8" ht="14.5" x14ac:dyDescent="0.35">
      <c r="A10" s="14" t="s">
        <v>4</v>
      </c>
      <c r="B10" s="18">
        <v>4</v>
      </c>
      <c r="G10" s="7" t="s">
        <v>20</v>
      </c>
      <c r="H10" s="44">
        <v>4.2500000000000003E-2</v>
      </c>
    </row>
    <row r="11" spans="1:8" ht="14.5" x14ac:dyDescent="0.35">
      <c r="A11" s="19" t="s">
        <v>8</v>
      </c>
      <c r="B11" s="19">
        <v>0</v>
      </c>
      <c r="C11" s="4"/>
      <c r="G11" s="7" t="s">
        <v>21</v>
      </c>
      <c r="H11" s="44">
        <v>0.185</v>
      </c>
    </row>
    <row r="12" spans="1:8" x14ac:dyDescent="0.3">
      <c r="A12" s="14" t="s">
        <v>10</v>
      </c>
      <c r="B12" s="20">
        <v>0.3</v>
      </c>
    </row>
    <row r="14" spans="1:8" ht="14.5" x14ac:dyDescent="0.35">
      <c r="A14" s="9" t="s">
        <v>9</v>
      </c>
      <c r="B14" s="10">
        <f>YIELD(B4,B5,B6,B8*(1-B9)/50,B7*(1+B11)/50,B10,0)</f>
        <v>4.6645434596694013E-2</v>
      </c>
      <c r="D14" s="9" t="s">
        <v>13</v>
      </c>
      <c r="E14" s="10">
        <f>E4/(E6*(1-E7))</f>
        <v>6.8709695828339898E-2</v>
      </c>
      <c r="G14" s="9" t="s">
        <v>22</v>
      </c>
      <c r="H14" s="10">
        <f>H10+H9*(H11 - H10)</f>
        <v>0.234875</v>
      </c>
    </row>
    <row r="15" spans="1:8" ht="14.5" x14ac:dyDescent="0.35">
      <c r="A15" s="9" t="s">
        <v>7</v>
      </c>
      <c r="B15" s="11">
        <f>B14*(1-B12)</f>
        <v>3.2651804217685806E-2</v>
      </c>
      <c r="G15" s="9" t="s">
        <v>23</v>
      </c>
      <c r="H15" s="21">
        <f>H4/(H7*(1-H8))+H5</f>
        <v>9.080519678997806E-2</v>
      </c>
    </row>
    <row r="17" spans="1:6" x14ac:dyDescent="0.3">
      <c r="C17" s="2"/>
    </row>
    <row r="18" spans="1:6" ht="14.5" thickBot="1" x14ac:dyDescent="0.35"/>
    <row r="19" spans="1:6" ht="14.5" thickBot="1" x14ac:dyDescent="0.35">
      <c r="A19" s="25" t="s">
        <v>24</v>
      </c>
      <c r="B19" s="25" t="s">
        <v>25</v>
      </c>
      <c r="C19" s="25" t="s">
        <v>26</v>
      </c>
      <c r="D19" s="25" t="s">
        <v>27</v>
      </c>
      <c r="E19" s="25" t="s">
        <v>28</v>
      </c>
      <c r="F19" s="25" t="s">
        <v>29</v>
      </c>
    </row>
    <row r="20" spans="1:6" ht="14.5" x14ac:dyDescent="0.35">
      <c r="A20" t="s">
        <v>30</v>
      </c>
      <c r="B20" s="26">
        <f>H3</f>
        <v>2000000</v>
      </c>
      <c r="C20" s="27">
        <f>B20*H6</f>
        <v>10000000</v>
      </c>
      <c r="D20" s="27">
        <f>B20*H7</f>
        <v>57300000</v>
      </c>
      <c r="E20" s="3">
        <f>C20/$C$23</f>
        <v>7.407407407407407E-2</v>
      </c>
      <c r="F20" s="3">
        <f>D20/$D$23</f>
        <v>0.2970066087857976</v>
      </c>
    </row>
    <row r="21" spans="1:6" ht="14.5" x14ac:dyDescent="0.35">
      <c r="A21" t="s">
        <v>31</v>
      </c>
      <c r="B21" s="26">
        <f>E3</f>
        <v>75000</v>
      </c>
      <c r="C21" s="27">
        <f>B21*E5</f>
        <v>75000000</v>
      </c>
      <c r="D21" s="27">
        <f>B21*E6</f>
        <v>84375000</v>
      </c>
      <c r="E21" s="3">
        <f t="shared" ref="E21:E22" si="0">C21/$C$23</f>
        <v>0.55555555555555558</v>
      </c>
      <c r="F21" s="3">
        <f t="shared" ref="F21:F22" si="1">D21/$D$23</f>
        <v>0.43734611895814435</v>
      </c>
    </row>
    <row r="22" spans="1:6" ht="15" thickBot="1" x14ac:dyDescent="0.4">
      <c r="A22" t="s">
        <v>32</v>
      </c>
      <c r="B22" s="26">
        <f>B3</f>
        <v>10000</v>
      </c>
      <c r="C22" s="27">
        <f>B22*B7</f>
        <v>50000000</v>
      </c>
      <c r="D22" s="27">
        <f>B22*B8</f>
        <v>51250000</v>
      </c>
      <c r="E22" s="3">
        <f t="shared" si="0"/>
        <v>0.37037037037037035</v>
      </c>
      <c r="F22" s="3">
        <f t="shared" si="1"/>
        <v>0.26564727225605805</v>
      </c>
    </row>
    <row r="23" spans="1:6" ht="14.5" x14ac:dyDescent="0.35">
      <c r="A23" s="29" t="s">
        <v>33</v>
      </c>
      <c r="B23" s="30"/>
      <c r="C23" s="31">
        <f>SUM(C20:C22)</f>
        <v>135000000</v>
      </c>
      <c r="D23" s="31">
        <f>SUM(D20:D22)</f>
        <v>192925000</v>
      </c>
      <c r="E23" s="32">
        <f>SUM(E20:E22)</f>
        <v>1</v>
      </c>
      <c r="F23" s="32">
        <f>SUM(F20:F22)</f>
        <v>1</v>
      </c>
    </row>
    <row r="25" spans="1:6" ht="14.5" x14ac:dyDescent="0.35">
      <c r="A25" s="33"/>
      <c r="B25" s="50" t="s">
        <v>39</v>
      </c>
      <c r="C25" s="50"/>
      <c r="D25" s="50" t="s">
        <v>40</v>
      </c>
      <c r="E25" s="50"/>
    </row>
    <row r="26" spans="1:6" ht="14.5" x14ac:dyDescent="0.35">
      <c r="A26" s="33"/>
      <c r="B26" s="35" t="s">
        <v>37</v>
      </c>
      <c r="C26" s="35" t="s">
        <v>38</v>
      </c>
      <c r="D26" s="35" t="s">
        <v>37</v>
      </c>
      <c r="E26" s="35" t="s">
        <v>38</v>
      </c>
    </row>
    <row r="27" spans="1:6" x14ac:dyDescent="0.3">
      <c r="A27" s="34" t="s">
        <v>36</v>
      </c>
      <c r="B27" s="36">
        <f>(E20*$H$14)+(E21*$E$14)+(E22*$B$15)</f>
        <v>6.7663462207479874E-2</v>
      </c>
      <c r="C27" s="36">
        <f>(F20*$H$14)+(F21*$E$14)+(F22*$B$15)</f>
        <v>0.10848320876855035</v>
      </c>
      <c r="D27" s="36">
        <f>(E20*$H$15)+(E21*$E$14)+(E22*$B$15)</f>
        <v>5.6991624932663423E-2</v>
      </c>
      <c r="E27" s="36">
        <f>(F20*$H$15)+(F21*$E$14)+(F22*$B$15)</f>
        <v>6.5693525088704519E-2</v>
      </c>
    </row>
  </sheetData>
  <mergeCells count="2">
    <mergeCell ref="B25:C25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EcoGrid Renewables Ltd. (2)</vt:lpstr>
      <vt:lpstr>EcoGrid Renewables Ltd.</vt:lpstr>
      <vt:lpstr>Akshara Textiles Ltd.</vt:lpstr>
      <vt:lpstr>Zenith Pharmaceuticals Ltd</vt:lpstr>
      <vt:lpstr>Horizon Automotives  Ltd</vt:lpstr>
      <vt:lpstr>BlueWave Logistics Ltd.</vt:lpstr>
      <vt:lpstr>Vista Agro Foods Ltd.</vt:lpstr>
      <vt:lpstr>Nimbus Hospitality  Ltd.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2024-12-14T05:05:32Z</dcterms:created>
  <dcterms:modified xsi:type="dcterms:W3CDTF">2025-07-18T08:30:34Z</dcterms:modified>
</cp:coreProperties>
</file>