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FME-Topic_08_ LBO\"/>
    </mc:Choice>
  </mc:AlternateContent>
  <xr:revisionPtr revIDLastSave="0" documentId="13_ncr:1_{C20D6A15-C691-4AB4-9D02-5DB556FC9D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erational_LBO_Model (2)" sheetId="7" r:id="rId1"/>
    <sheet name="Operational_LBO_Model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7" l="1"/>
  <c r="C35" i="7"/>
  <c r="C28" i="7"/>
  <c r="C31" i="7"/>
  <c r="C31" i="6"/>
  <c r="C30" i="7"/>
  <c r="C29" i="7"/>
  <c r="C27" i="7"/>
  <c r="I21" i="7"/>
  <c r="H9" i="7"/>
  <c r="H8" i="7"/>
  <c r="I3" i="7"/>
  <c r="H7" i="7"/>
  <c r="H6" i="7"/>
  <c r="H5" i="7"/>
  <c r="G34" i="7"/>
  <c r="H34" i="7"/>
  <c r="I34" i="7"/>
  <c r="J34" i="7"/>
  <c r="K34" i="7"/>
  <c r="H33" i="7"/>
  <c r="I33" i="7"/>
  <c r="J33" i="7"/>
  <c r="K33" i="7"/>
  <c r="G33" i="7"/>
  <c r="H30" i="7"/>
  <c r="G24" i="7"/>
  <c r="G23" i="7"/>
  <c r="I22" i="7"/>
  <c r="I31" i="7"/>
  <c r="I30" i="7"/>
  <c r="J30" i="7"/>
  <c r="K30" i="7"/>
  <c r="I4" i="7"/>
  <c r="G4" i="7"/>
  <c r="G32" i="7"/>
  <c r="G31" i="7"/>
  <c r="G30" i="7"/>
  <c r="C18" i="7"/>
  <c r="G22" i="7"/>
  <c r="G21" i="7"/>
  <c r="H20" i="7"/>
  <c r="I20" i="7"/>
  <c r="J20" i="7"/>
  <c r="K20" i="7"/>
  <c r="G20" i="7"/>
  <c r="H19" i="7"/>
  <c r="I19" i="7"/>
  <c r="J19" i="7"/>
  <c r="K19" i="7"/>
  <c r="G19" i="7"/>
  <c r="G18" i="7"/>
  <c r="H18" i="7"/>
  <c r="I18" i="7"/>
  <c r="J18" i="7"/>
  <c r="K18" i="7"/>
  <c r="K17" i="7"/>
  <c r="H17" i="7"/>
  <c r="I17" i="7" s="1"/>
  <c r="J17" i="7" s="1"/>
  <c r="G17" i="7"/>
  <c r="F17" i="7"/>
  <c r="C19" i="7"/>
  <c r="I2" i="7"/>
  <c r="J2" i="7" s="1"/>
  <c r="K2" i="7" s="1"/>
  <c r="H2" i="7"/>
  <c r="I28" i="7"/>
  <c r="J28" i="7" s="1"/>
  <c r="K28" i="7" s="1"/>
  <c r="H28" i="7"/>
  <c r="G16" i="7"/>
  <c r="H16" i="7" s="1"/>
  <c r="I16" i="7" s="1"/>
  <c r="J16" i="7" s="1"/>
  <c r="K16" i="7" s="1"/>
  <c r="I15" i="7"/>
  <c r="J15" i="7" s="1"/>
  <c r="K15" i="7" s="1"/>
  <c r="H15" i="7"/>
  <c r="C11" i="7"/>
  <c r="C9" i="7"/>
  <c r="C5" i="7"/>
  <c r="C39" i="6"/>
  <c r="C38" i="6"/>
  <c r="C37" i="6"/>
  <c r="F31" i="6"/>
  <c r="G29" i="6"/>
  <c r="H29" i="6" s="1"/>
  <c r="I29" i="6" s="1"/>
  <c r="J29" i="6" s="1"/>
  <c r="K29" i="6" s="1"/>
  <c r="H28" i="6"/>
  <c r="I28" i="6" s="1"/>
  <c r="J28" i="6" s="1"/>
  <c r="K28" i="6" s="1"/>
  <c r="F21" i="6"/>
  <c r="C18" i="6"/>
  <c r="F17" i="6"/>
  <c r="G17" i="6" s="1"/>
  <c r="G34" i="6" s="1"/>
  <c r="G16" i="6"/>
  <c r="H16" i="6" s="1"/>
  <c r="I16" i="6" s="1"/>
  <c r="J16" i="6" s="1"/>
  <c r="K16" i="6" s="1"/>
  <c r="H15" i="6"/>
  <c r="I15" i="6" s="1"/>
  <c r="J15" i="6" s="1"/>
  <c r="K15" i="6" s="1"/>
  <c r="C11" i="6"/>
  <c r="C9" i="6"/>
  <c r="C5" i="6"/>
  <c r="D36" i="7"/>
  <c r="D35" i="7"/>
  <c r="I23" i="7" l="1"/>
  <c r="I32" i="7" s="1"/>
  <c r="I35" i="7" s="1"/>
  <c r="I5" i="7" s="1"/>
  <c r="G35" i="7"/>
  <c r="G5" i="7" s="1"/>
  <c r="G6" i="7"/>
  <c r="G7" i="7" s="1"/>
  <c r="H3" i="7" s="1"/>
  <c r="H4" i="7" s="1"/>
  <c r="H21" i="7" s="1"/>
  <c r="H31" i="7" s="1"/>
  <c r="C20" i="7"/>
  <c r="G3" i="7" s="1"/>
  <c r="C21" i="7"/>
  <c r="F18" i="6"/>
  <c r="F30" i="6" s="1"/>
  <c r="C19" i="6"/>
  <c r="C20" i="6" s="1"/>
  <c r="G3" i="6" s="1"/>
  <c r="H17" i="6"/>
  <c r="G18" i="6"/>
  <c r="G33" i="6"/>
  <c r="G19" i="6"/>
  <c r="I6" i="7" l="1"/>
  <c r="I7" i="7" s="1"/>
  <c r="J3" i="7" s="1"/>
  <c r="I24" i="7"/>
  <c r="H22" i="7"/>
  <c r="G8" i="7"/>
  <c r="C29" i="6"/>
  <c r="H33" i="6"/>
  <c r="H19" i="6"/>
  <c r="H34" i="6"/>
  <c r="H18" i="6"/>
  <c r="I17" i="6"/>
  <c r="G30" i="6"/>
  <c r="G20" i="6"/>
  <c r="C21" i="6"/>
  <c r="J4" i="7" l="1"/>
  <c r="J21" i="7" s="1"/>
  <c r="I8" i="7"/>
  <c r="I9" i="7" s="1"/>
  <c r="H23" i="7"/>
  <c r="H32" i="7" s="1"/>
  <c r="H35" i="7" s="1"/>
  <c r="I34" i="6"/>
  <c r="I18" i="6"/>
  <c r="I19" i="6"/>
  <c r="I33" i="6"/>
  <c r="J17" i="6"/>
  <c r="H20" i="6"/>
  <c r="H30" i="6"/>
  <c r="G4" i="6"/>
  <c r="G21" i="6" s="1"/>
  <c r="G31" i="6" s="1"/>
  <c r="J31" i="7" l="1"/>
  <c r="J22" i="7"/>
  <c r="H24" i="7"/>
  <c r="G22" i="6"/>
  <c r="G23" i="6" s="1"/>
  <c r="G32" i="6" s="1"/>
  <c r="G35" i="6" s="1"/>
  <c r="G5" i="6" s="1"/>
  <c r="I20" i="6"/>
  <c r="I30" i="6"/>
  <c r="J33" i="6"/>
  <c r="K17" i="6"/>
  <c r="J34" i="6"/>
  <c r="J18" i="6"/>
  <c r="J19" i="6"/>
  <c r="J23" i="7" l="1"/>
  <c r="J32" i="7" s="1"/>
  <c r="J35" i="7" s="1"/>
  <c r="J5" i="7" s="1"/>
  <c r="G6" i="6"/>
  <c r="G7" i="6" s="1"/>
  <c r="H3" i="6" s="1"/>
  <c r="G24" i="6"/>
  <c r="J20" i="6"/>
  <c r="J30" i="6"/>
  <c r="K34" i="6"/>
  <c r="K33" i="6"/>
  <c r="K18" i="6"/>
  <c r="K19" i="6"/>
  <c r="J6" i="7" l="1"/>
  <c r="J7" i="7" s="1"/>
  <c r="K3" i="7" s="1"/>
  <c r="J24" i="7"/>
  <c r="H4" i="6"/>
  <c r="H21" i="6" s="1"/>
  <c r="K30" i="6"/>
  <c r="K20" i="6"/>
  <c r="C27" i="6"/>
  <c r="C28" i="6" s="1"/>
  <c r="G8" i="6"/>
  <c r="G9" i="6" s="1"/>
  <c r="K4" i="7" l="1"/>
  <c r="K21" i="7" s="1"/>
  <c r="J8" i="7"/>
  <c r="J9" i="7" s="1"/>
  <c r="H31" i="6"/>
  <c r="H22" i="6"/>
  <c r="H23" i="6" s="1"/>
  <c r="K22" i="7" l="1"/>
  <c r="K31" i="7"/>
  <c r="H32" i="6"/>
  <c r="H35" i="6" s="1"/>
  <c r="H5" i="6" s="1"/>
  <c r="H24" i="6"/>
  <c r="K23" i="7" l="1"/>
  <c r="K32" i="7" s="1"/>
  <c r="K35" i="7" s="1"/>
  <c r="K5" i="7" s="1"/>
  <c r="H6" i="6"/>
  <c r="H7" i="6" s="1"/>
  <c r="I3" i="6" s="1"/>
  <c r="K6" i="7" l="1"/>
  <c r="K7" i="7" s="1"/>
  <c r="K24" i="7"/>
  <c r="I4" i="6"/>
  <c r="I21" i="6" s="1"/>
  <c r="H8" i="6"/>
  <c r="H9" i="6" s="1"/>
  <c r="K8" i="7" l="1"/>
  <c r="K9" i="7" s="1"/>
  <c r="I31" i="6"/>
  <c r="I22" i="6"/>
  <c r="I23" i="6" s="1"/>
  <c r="I32" i="6" l="1"/>
  <c r="I35" i="6" s="1"/>
  <c r="I5" i="6" s="1"/>
  <c r="I6" i="6" l="1"/>
  <c r="I7" i="6" s="1"/>
  <c r="J3" i="6" s="1"/>
  <c r="I24" i="6"/>
  <c r="I8" i="6" l="1"/>
  <c r="I9" i="6" s="1"/>
  <c r="J4" i="6"/>
  <c r="J21" i="6" s="1"/>
  <c r="J31" i="6" l="1"/>
  <c r="J22" i="6"/>
  <c r="J23" i="6" s="1"/>
  <c r="J32" i="6" l="1"/>
  <c r="J35" i="6" s="1"/>
  <c r="J5" i="6" s="1"/>
  <c r="J6" i="6" l="1"/>
  <c r="J7" i="6" s="1"/>
  <c r="K3" i="6" s="1"/>
  <c r="J24" i="6"/>
  <c r="K4" i="6" l="1"/>
  <c r="K21" i="6" s="1"/>
  <c r="J8" i="6"/>
  <c r="J9" i="6" s="1"/>
  <c r="K31" i="6" l="1"/>
  <c r="K22" i="6"/>
  <c r="K23" i="6" s="1"/>
  <c r="K32" i="6" l="1"/>
  <c r="K35" i="6" s="1"/>
  <c r="K5" i="6" s="1"/>
  <c r="K6" i="6" l="1"/>
  <c r="K7" i="6" s="1"/>
  <c r="K24" i="6"/>
  <c r="K8" i="6" l="1"/>
  <c r="K9" i="6" s="1"/>
  <c r="C30" i="6" s="1"/>
  <c r="C35" i="6" s="1"/>
  <c r="C36" i="6" s="1"/>
</calcChain>
</file>

<file path=xl/sharedStrings.xml><?xml version="1.0" encoding="utf-8"?>
<sst xmlns="http://schemas.openxmlformats.org/spreadsheetml/2006/main" count="126" uniqueCount="57">
  <si>
    <t xml:space="preserve">Target company's LTM EBITDA margin </t>
  </si>
  <si>
    <t>Entry EBITDA multiple</t>
  </si>
  <si>
    <t>Annual Sales growth - 5y projection</t>
  </si>
  <si>
    <t>EBITDA margin - 5y projection</t>
  </si>
  <si>
    <t>Corporate income tax rate - 5y projection</t>
  </si>
  <si>
    <t>% of debt used for acquisition</t>
  </si>
  <si>
    <t>D&amp;A as % of sales - 5y projection</t>
  </si>
  <si>
    <t>CAPEX as % of sales - 5y projection</t>
  </si>
  <si>
    <t>NWC investments as % of sales - 5y projection</t>
  </si>
  <si>
    <t>Entry Value</t>
  </si>
  <si>
    <t>Exit EBITDA multiple - exit after 5y</t>
  </si>
  <si>
    <t>Sales</t>
  </si>
  <si>
    <t>EBITDA</t>
  </si>
  <si>
    <t>D&amp;A</t>
  </si>
  <si>
    <t>EBIT</t>
  </si>
  <si>
    <t>EBT</t>
  </si>
  <si>
    <t>Net Income</t>
  </si>
  <si>
    <t>CAPEX</t>
  </si>
  <si>
    <t>Rate of Return</t>
  </si>
  <si>
    <t>Interest expenses</t>
  </si>
  <si>
    <t>MOIC - Multiple on Invested Capital (Equity)</t>
  </si>
  <si>
    <t>IRR - Internal Rate of Return</t>
  </si>
  <si>
    <t>Free Cash Flow</t>
  </si>
  <si>
    <t>Interest rate - 5y projection</t>
  </si>
  <si>
    <t>/</t>
  </si>
  <si>
    <t>The Rule of 72 IRR - applicable only if your MOIC is close to 2!!!</t>
  </si>
  <si>
    <t>The Rule of 114 IRR - applicable only if your MOIC is close to 3!!!</t>
  </si>
  <si>
    <t>The Rule of 144 IRR - applicable only if your MOIC is close to 4!!!</t>
  </si>
  <si>
    <t xml:space="preserve">Income tax </t>
  </si>
  <si>
    <t>Target company's LTM sales ( ₹)</t>
  </si>
  <si>
    <t>LTM EBITDA ( ₹)</t>
  </si>
  <si>
    <t>Entry Enterprise Value ( ₹)</t>
  </si>
  <si>
    <t>Entry Debt Balance Value ( ₹)</t>
  </si>
  <si>
    <t>Entry Equity Value ( ₹)</t>
  </si>
  <si>
    <t>Profit and Loss Statement( ₹)</t>
  </si>
  <si>
    <t>EBITDA - year 5 ( ₹)</t>
  </si>
  <si>
    <t>Exit Enterprise Value ( ₹)</t>
  </si>
  <si>
    <t>Exit Debt Balance Value ( ₹)</t>
  </si>
  <si>
    <t>Exit Equity Value ( ₹)</t>
  </si>
  <si>
    <t xml:space="preserve">Projected Income Statement for Five years </t>
  </si>
  <si>
    <t>Exit Value  after 2030</t>
  </si>
  <si>
    <t>Opening Debt</t>
  </si>
  <si>
    <t>Interest (₹)</t>
  </si>
  <si>
    <t>CFADS</t>
  </si>
  <si>
    <t>Debt Repayment</t>
  </si>
  <si>
    <t>Closing Debt</t>
  </si>
  <si>
    <t>Cash Build-up</t>
  </si>
  <si>
    <t xml:space="preserve">Income Tax </t>
  </si>
  <si>
    <t>Change in NWC</t>
  </si>
  <si>
    <t>Cumulative Cash Build-up</t>
  </si>
  <si>
    <t>Cumulative Cah built-up ( ₹)</t>
  </si>
  <si>
    <t>Cash Flow Estimation</t>
  </si>
  <si>
    <t>Cash Flow Estimation ( ₹)</t>
  </si>
  <si>
    <t>Debt Service Schedule</t>
  </si>
  <si>
    <t>LTM</t>
  </si>
  <si>
    <t>LBO MODEL Inputs</t>
  </si>
  <si>
    <t>Entry EV/EBITDA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</si>
</sst>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.00_ ;_ [$₹-4009]\ * \-#,##0.00_ ;_ [$₹-4009]\ * &quot;-&quot;??_ ;_ @_ "/>
    <numFmt numFmtId="165" formatCode="0\ &quot;Times&quot;"/>
    <numFmt numFmtId="166" formatCode="_ [$₹-4009]\ * #,##0_ ;_ [$₹-4009]\ * \-#,##0_ ;_ [$₹-4009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Yu Gothic"/>
      <family val="2"/>
    </font>
    <font>
      <b/>
      <sz val="11"/>
      <name val="Yu Gothic UI"/>
      <family val="2"/>
    </font>
    <font>
      <sz val="11"/>
      <name val="Yu Gothic UI"/>
      <family val="2"/>
    </font>
    <font>
      <sz val="10"/>
      <name val="Yu Gothic"/>
      <family val="2"/>
    </font>
    <font>
      <sz val="10"/>
      <name val="Yu Gothic UI"/>
      <family val="2"/>
    </font>
    <font>
      <b/>
      <sz val="10"/>
      <name val="Yu Gothic UI"/>
      <family val="2"/>
    </font>
    <font>
      <sz val="10"/>
      <name val="Yu Gothic UI Semibold"/>
      <family val="2"/>
    </font>
    <font>
      <b/>
      <sz val="10"/>
      <name val="Yu Gothic UI Semibold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rgb="FF00AAD2"/>
      </left>
      <right style="hair">
        <color rgb="FF00AAD2"/>
      </right>
      <top style="hair">
        <color rgb="FF00AAD2"/>
      </top>
      <bottom style="hair">
        <color rgb="FF00AAD2"/>
      </bottom>
      <diagonal/>
    </border>
    <border>
      <left/>
      <right/>
      <top/>
      <bottom style="medium">
        <color rgb="FF0070C0"/>
      </bottom>
      <diagonal/>
    </border>
    <border>
      <left/>
      <right style="hair">
        <color rgb="FF00AAD2"/>
      </right>
      <top style="hair">
        <color rgb="FF00AAD2"/>
      </top>
      <bottom/>
      <diagonal/>
    </border>
    <border>
      <left style="hair">
        <color rgb="FF00AAD2"/>
      </left>
      <right style="hair">
        <color rgb="FF00AAD2"/>
      </right>
      <top style="hair">
        <color rgb="FF00AAD2"/>
      </top>
      <bottom/>
      <diagonal/>
    </border>
    <border>
      <left style="hair">
        <color rgb="FF0070C0"/>
      </left>
      <right style="hair">
        <color rgb="FF00AAD2"/>
      </right>
      <top style="medium">
        <color rgb="FF0070C0"/>
      </top>
      <bottom/>
      <diagonal/>
    </border>
    <border>
      <left style="hair">
        <color rgb="FF00AAD2"/>
      </left>
      <right style="hair">
        <color rgb="FF00AAD2"/>
      </right>
      <top style="medium">
        <color rgb="FF0070C0"/>
      </top>
      <bottom/>
      <diagonal/>
    </border>
    <border>
      <left style="hair">
        <color rgb="FF0070C0"/>
      </left>
      <right style="hair">
        <color rgb="FF00AAD2"/>
      </right>
      <top style="hair">
        <color rgb="FF00AAD2"/>
      </top>
      <bottom/>
      <diagonal/>
    </border>
    <border>
      <left style="hair">
        <color rgb="FF0070C0"/>
      </left>
      <right style="hair">
        <color rgb="FF00AAD2"/>
      </right>
      <top style="hair">
        <color rgb="FF00AAD2"/>
      </top>
      <bottom style="hair">
        <color rgb="FF0070C0"/>
      </bottom>
      <diagonal/>
    </border>
    <border>
      <left style="hair">
        <color rgb="FF00AAD2"/>
      </left>
      <right style="hair">
        <color rgb="FF00AAD2"/>
      </right>
      <top style="hair">
        <color rgb="FF00AAD2"/>
      </top>
      <bottom style="hair">
        <color rgb="FF0070C0"/>
      </bottom>
      <diagonal/>
    </border>
    <border>
      <left style="hair">
        <color rgb="FF0070C0"/>
      </left>
      <right style="hair">
        <color rgb="FF00AAD2"/>
      </right>
      <top style="hair">
        <color rgb="FF0070C0"/>
      </top>
      <bottom/>
      <diagonal/>
    </border>
    <border>
      <left style="hair">
        <color rgb="FF00AAD2"/>
      </left>
      <right style="hair">
        <color rgb="FF00AAD2"/>
      </right>
      <top style="hair">
        <color rgb="FF007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37" fontId="6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4" fontId="6" fillId="2" borderId="1" xfId="0" applyNumberFormat="1" applyFont="1" applyFill="1" applyBorder="1" applyAlignment="1">
      <alignment horizontal="center"/>
    </xf>
    <xf numFmtId="9" fontId="6" fillId="2" borderId="1" xfId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164" fontId="7" fillId="3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/>
    <xf numFmtId="0" fontId="7" fillId="4" borderId="2" xfId="0" applyFont="1" applyFill="1" applyBorder="1"/>
    <xf numFmtId="1" fontId="7" fillId="4" borderId="2" xfId="0" applyNumberFormat="1" applyFont="1" applyFill="1" applyBorder="1"/>
    <xf numFmtId="0" fontId="7" fillId="4" borderId="0" xfId="0" applyFont="1" applyFill="1"/>
    <xf numFmtId="1" fontId="7" fillId="4" borderId="0" xfId="0" applyNumberFormat="1" applyFont="1" applyFill="1"/>
    <xf numFmtId="0" fontId="6" fillId="4" borderId="0" xfId="0" applyFont="1" applyFill="1"/>
    <xf numFmtId="37" fontId="6" fillId="4" borderId="5" xfId="0" applyNumberFormat="1" applyFont="1" applyFill="1" applyBorder="1" applyAlignment="1">
      <alignment horizontal="right"/>
    </xf>
    <xf numFmtId="37" fontId="6" fillId="4" borderId="6" xfId="0" applyNumberFormat="1" applyFont="1" applyFill="1" applyBorder="1" applyAlignment="1">
      <alignment horizontal="right"/>
    </xf>
    <xf numFmtId="37" fontId="6" fillId="4" borderId="7" xfId="0" applyNumberFormat="1" applyFont="1" applyFill="1" applyBorder="1" applyAlignment="1">
      <alignment horizontal="right"/>
    </xf>
    <xf numFmtId="37" fontId="6" fillId="4" borderId="3" xfId="0" applyNumberFormat="1" applyFont="1" applyFill="1" applyBorder="1" applyAlignment="1">
      <alignment horizontal="right"/>
    </xf>
    <xf numFmtId="37" fontId="6" fillId="4" borderId="7" xfId="0" quotePrefix="1" applyNumberFormat="1" applyFont="1" applyFill="1" applyBorder="1" applyAlignment="1">
      <alignment horizontal="right"/>
    </xf>
    <xf numFmtId="37" fontId="6" fillId="4" borderId="4" xfId="0" applyNumberFormat="1" applyFont="1" applyFill="1" applyBorder="1" applyAlignment="1">
      <alignment horizontal="right"/>
    </xf>
    <xf numFmtId="37" fontId="7" fillId="4" borderId="8" xfId="0" quotePrefix="1" applyNumberFormat="1" applyFont="1" applyFill="1" applyBorder="1" applyAlignment="1">
      <alignment horizontal="right"/>
    </xf>
    <xf numFmtId="37" fontId="7" fillId="4" borderId="9" xfId="0" applyNumberFormat="1" applyFon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4" fillId="5" borderId="0" xfId="0" applyFont="1" applyFill="1"/>
    <xf numFmtId="0" fontId="5" fillId="5" borderId="0" xfId="0" applyFont="1" applyFill="1"/>
    <xf numFmtId="0" fontId="7" fillId="5" borderId="2" xfId="0" applyFont="1" applyFill="1" applyBorder="1"/>
    <xf numFmtId="1" fontId="7" fillId="5" borderId="2" xfId="0" applyNumberFormat="1" applyFont="1" applyFill="1" applyBorder="1"/>
    <xf numFmtId="0" fontId="7" fillId="5" borderId="0" xfId="0" applyFont="1" applyFill="1"/>
    <xf numFmtId="1" fontId="7" fillId="5" borderId="0" xfId="0" applyNumberFormat="1" applyFont="1" applyFill="1"/>
    <xf numFmtId="0" fontId="6" fillId="5" borderId="0" xfId="0" applyFont="1" applyFill="1"/>
    <xf numFmtId="37" fontId="6" fillId="5" borderId="10" xfId="0" applyNumberFormat="1" applyFont="1" applyFill="1" applyBorder="1" applyAlignment="1">
      <alignment horizontal="right"/>
    </xf>
    <xf numFmtId="37" fontId="6" fillId="5" borderId="11" xfId="0" applyNumberFormat="1" applyFont="1" applyFill="1" applyBorder="1" applyAlignment="1">
      <alignment horizontal="right"/>
    </xf>
    <xf numFmtId="37" fontId="6" fillId="5" borderId="7" xfId="0" applyNumberFormat="1" applyFont="1" applyFill="1" applyBorder="1" applyAlignment="1">
      <alignment horizontal="right"/>
    </xf>
    <xf numFmtId="37" fontId="6" fillId="5" borderId="4" xfId="0" applyNumberFormat="1" applyFont="1" applyFill="1" applyBorder="1" applyAlignment="1">
      <alignment horizontal="right"/>
    </xf>
    <xf numFmtId="37" fontId="6" fillId="5" borderId="7" xfId="0" quotePrefix="1" applyNumberFormat="1" applyFont="1" applyFill="1" applyBorder="1" applyAlignment="1">
      <alignment horizontal="right"/>
    </xf>
    <xf numFmtId="37" fontId="7" fillId="5" borderId="8" xfId="0" quotePrefix="1" applyNumberFormat="1" applyFont="1" applyFill="1" applyBorder="1" applyAlignment="1">
      <alignment horizontal="right"/>
    </xf>
    <xf numFmtId="37" fontId="7" fillId="5" borderId="9" xfId="0" applyNumberFormat="1" applyFont="1" applyFill="1" applyBorder="1" applyAlignment="1">
      <alignment horizontal="right"/>
    </xf>
    <xf numFmtId="0" fontId="3" fillId="6" borderId="0" xfId="0" applyFont="1" applyFill="1" applyAlignment="1">
      <alignment horizontal="left"/>
    </xf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0" fontId="8" fillId="6" borderId="0" xfId="0" applyFont="1" applyFill="1"/>
    <xf numFmtId="10" fontId="9" fillId="6" borderId="1" xfId="1" applyNumberFormat="1" applyFont="1" applyFill="1" applyBorder="1" applyAlignment="1">
      <alignment horizontal="center"/>
    </xf>
    <xf numFmtId="0" fontId="8" fillId="6" borderId="0" xfId="0" quotePrefix="1" applyFont="1" applyFill="1" applyAlignment="1">
      <alignment wrapText="1"/>
    </xf>
    <xf numFmtId="166" fontId="7" fillId="6" borderId="1" xfId="0" applyNumberFormat="1" applyFont="1" applyFill="1" applyBorder="1" applyAlignment="1">
      <alignment horizontal="right"/>
    </xf>
    <xf numFmtId="165" fontId="9" fillId="6" borderId="1" xfId="0" applyNumberFormat="1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vertical="center" wrapText="1"/>
    </xf>
    <xf numFmtId="3" fontId="0" fillId="4" borderId="12" xfId="0" applyNumberFormat="1" applyFill="1" applyBorder="1" applyAlignment="1">
      <alignment vertical="center" wrapText="1"/>
    </xf>
    <xf numFmtId="3" fontId="0" fillId="4" borderId="12" xfId="0" applyNumberFormat="1" applyFill="1" applyBorder="1"/>
    <xf numFmtId="37" fontId="0" fillId="4" borderId="12" xfId="0" applyNumberFormat="1" applyFill="1" applyBorder="1"/>
    <xf numFmtId="37" fontId="0" fillId="4" borderId="12" xfId="0" applyNumberFormat="1" applyFill="1" applyBorder="1" applyAlignment="1">
      <alignment vertical="center" wrapText="1"/>
    </xf>
    <xf numFmtId="0" fontId="5" fillId="4" borderId="12" xfId="0" applyFont="1" applyFill="1" applyBorder="1"/>
    <xf numFmtId="0" fontId="10" fillId="4" borderId="12" xfId="0" applyFont="1" applyFill="1" applyBorder="1" applyAlignment="1">
      <alignment vertical="center" wrapText="1"/>
    </xf>
    <xf numFmtId="0" fontId="6" fillId="4" borderId="12" xfId="0" applyFont="1" applyFill="1" applyBorder="1"/>
    <xf numFmtId="37" fontId="5" fillId="4" borderId="12" xfId="0" applyNumberFormat="1" applyFont="1" applyFill="1" applyBorder="1"/>
    <xf numFmtId="37" fontId="2" fillId="4" borderId="12" xfId="0" applyNumberFormat="1" applyFont="1" applyFill="1" applyBorder="1"/>
    <xf numFmtId="164" fontId="5" fillId="4" borderId="12" xfId="0" applyNumberFormat="1" applyFont="1" applyFill="1" applyBorder="1"/>
    <xf numFmtId="0" fontId="2" fillId="4" borderId="12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4" fontId="5" fillId="4" borderId="12" xfId="0" applyNumberFormat="1" applyFont="1" applyFill="1" applyBorder="1"/>
    <xf numFmtId="37" fontId="7" fillId="4" borderId="3" xfId="0" applyNumberFormat="1" applyFont="1" applyFill="1" applyBorder="1" applyAlignment="1">
      <alignment horizontal="right"/>
    </xf>
    <xf numFmtId="37" fontId="7" fillId="5" borderId="4" xfId="0" applyNumberFormat="1" applyFont="1" applyFill="1" applyBorder="1" applyAlignment="1">
      <alignment horizontal="right"/>
    </xf>
    <xf numFmtId="1" fontId="0" fillId="4" borderId="12" xfId="0" applyNumberFormat="1" applyFill="1" applyBorder="1" applyAlignment="1">
      <alignment vertical="center" wrapText="1"/>
    </xf>
    <xf numFmtId="37" fontId="6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5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270-3A55-437C-9CDA-A4675A9B5766}">
  <dimension ref="A1:N57"/>
  <sheetViews>
    <sheetView showGridLines="0" tabSelected="1" topLeftCell="A23" zoomScale="115" zoomScaleNormal="115" workbookViewId="0">
      <selection activeCell="D30" sqref="D30"/>
    </sheetView>
  </sheetViews>
  <sheetFormatPr defaultColWidth="9.1796875" defaultRowHeight="16.5" x14ac:dyDescent="0.5"/>
  <cols>
    <col min="1" max="1" width="6.26953125" style="3" customWidth="1"/>
    <col min="2" max="2" width="46.453125" style="3" customWidth="1"/>
    <col min="3" max="3" width="15" style="3" customWidth="1"/>
    <col min="4" max="4" width="35.453125" style="3" customWidth="1"/>
    <col min="5" max="5" width="20.26953125" style="3" bestFit="1" customWidth="1"/>
    <col min="6" max="6" width="14" style="3" bestFit="1" customWidth="1"/>
    <col min="7" max="7" width="15.453125" style="3" customWidth="1"/>
    <col min="8" max="8" width="11.81640625" style="3" bestFit="1" customWidth="1"/>
    <col min="9" max="9" width="11.36328125" style="3" bestFit="1" customWidth="1"/>
    <col min="10" max="10" width="11.08984375" style="3" bestFit="1" customWidth="1"/>
    <col min="11" max="11" width="11.36328125" style="3" bestFit="1" customWidth="1"/>
    <col min="12" max="16384" width="9.1796875" style="3"/>
  </cols>
  <sheetData>
    <row r="1" spans="2:14" s="1" customFormat="1" ht="17" x14ac:dyDescent="0.5">
      <c r="B1" s="7" t="s">
        <v>55</v>
      </c>
      <c r="C1" s="8"/>
      <c r="D1" s="2"/>
      <c r="E1" s="1" t="s">
        <v>53</v>
      </c>
    </row>
    <row r="2" spans="2:14" x14ac:dyDescent="0.5">
      <c r="B2" s="9"/>
      <c r="C2" s="9"/>
      <c r="E2" s="59"/>
      <c r="F2" s="71"/>
      <c r="G2" s="66">
        <v>2026</v>
      </c>
      <c r="H2" s="66">
        <f>G2+1</f>
        <v>2027</v>
      </c>
      <c r="I2" s="66">
        <f t="shared" ref="I2:K2" si="0">H2+1</f>
        <v>2028</v>
      </c>
      <c r="J2" s="66">
        <f t="shared" si="0"/>
        <v>2029</v>
      </c>
      <c r="K2" s="66">
        <f t="shared" si="0"/>
        <v>2030</v>
      </c>
    </row>
    <row r="3" spans="2:14" x14ac:dyDescent="0.5">
      <c r="B3" s="10" t="s">
        <v>29</v>
      </c>
      <c r="C3" s="11">
        <v>8000000</v>
      </c>
      <c r="D3" s="4"/>
      <c r="E3" s="59" t="s">
        <v>41</v>
      </c>
      <c r="F3" s="73"/>
      <c r="G3" s="61">
        <f>C20</f>
        <v>2800000</v>
      </c>
      <c r="H3" s="62">
        <f>G7</f>
        <v>1808800</v>
      </c>
      <c r="I3" s="62">
        <f t="shared" ref="I3:K3" si="1">H7</f>
        <v>533444.80000000028</v>
      </c>
      <c r="J3" s="62">
        <f t="shared" si="1"/>
        <v>0</v>
      </c>
      <c r="K3" s="62">
        <f t="shared" si="1"/>
        <v>0</v>
      </c>
    </row>
    <row r="4" spans="2:14" x14ac:dyDescent="0.5">
      <c r="B4" s="10" t="s">
        <v>0</v>
      </c>
      <c r="C4" s="12">
        <v>0.4</v>
      </c>
      <c r="D4" s="4"/>
      <c r="E4" s="59" t="s">
        <v>42</v>
      </c>
      <c r="F4" s="65"/>
      <c r="G4" s="60">
        <f>G3*$C$14</f>
        <v>336000</v>
      </c>
      <c r="H4" s="60">
        <f>H3*$C$14</f>
        <v>217056</v>
      </c>
      <c r="I4" s="76">
        <f t="shared" ref="I4:K4" si="2">I3*$C$14</f>
        <v>64013.376000000033</v>
      </c>
      <c r="J4" s="60">
        <f t="shared" si="2"/>
        <v>0</v>
      </c>
      <c r="K4" s="60">
        <f t="shared" si="2"/>
        <v>0</v>
      </c>
    </row>
    <row r="5" spans="2:14" x14ac:dyDescent="0.5">
      <c r="B5" s="10" t="s">
        <v>56</v>
      </c>
      <c r="C5" s="13">
        <f>4</f>
        <v>4</v>
      </c>
      <c r="D5" s="4"/>
      <c r="E5" s="59" t="s">
        <v>43</v>
      </c>
      <c r="F5" s="65"/>
      <c r="G5" s="64">
        <f>G35</f>
        <v>991200</v>
      </c>
      <c r="H5" s="64">
        <f t="shared" ref="H5:K5" si="3">H35</f>
        <v>1275355.1999999997</v>
      </c>
      <c r="I5" s="64">
        <f t="shared" si="3"/>
        <v>1615139.2991999998</v>
      </c>
      <c r="J5" s="64">
        <f t="shared" si="3"/>
        <v>1916302.4999999986</v>
      </c>
      <c r="K5" s="64">
        <f t="shared" si="3"/>
        <v>2203747.8749999991</v>
      </c>
    </row>
    <row r="6" spans="2:14" x14ac:dyDescent="0.5">
      <c r="B6" s="10" t="s">
        <v>2</v>
      </c>
      <c r="C6" s="12">
        <v>0.15</v>
      </c>
      <c r="D6" s="4"/>
      <c r="E6" s="59" t="s">
        <v>44</v>
      </c>
      <c r="F6" s="65"/>
      <c r="G6" s="64">
        <f>MIN(G3,G5)</f>
        <v>991200</v>
      </c>
      <c r="H6" s="64">
        <f>MIN(H3,H5)</f>
        <v>1275355.1999999997</v>
      </c>
      <c r="I6" s="64">
        <f t="shared" ref="H6:K6" si="4">MIN(I3,I5)</f>
        <v>533444.80000000028</v>
      </c>
      <c r="J6" s="64">
        <f t="shared" si="4"/>
        <v>0</v>
      </c>
      <c r="K6" s="64">
        <f t="shared" si="4"/>
        <v>0</v>
      </c>
    </row>
    <row r="7" spans="2:14" x14ac:dyDescent="0.5">
      <c r="B7" s="10" t="s">
        <v>3</v>
      </c>
      <c r="C7" s="12">
        <v>0.35</v>
      </c>
      <c r="D7" s="4"/>
      <c r="E7" s="59" t="s">
        <v>45</v>
      </c>
      <c r="F7" s="70"/>
      <c r="G7" s="61">
        <f>G3-G6</f>
        <v>1808800</v>
      </c>
      <c r="H7" s="61">
        <f t="shared" ref="H7:K7" si="5">H3-H6</f>
        <v>533444.80000000028</v>
      </c>
      <c r="I7" s="61">
        <f t="shared" si="5"/>
        <v>0</v>
      </c>
      <c r="J7" s="61">
        <f t="shared" si="5"/>
        <v>0</v>
      </c>
      <c r="K7" s="61">
        <f t="shared" si="5"/>
        <v>0</v>
      </c>
    </row>
    <row r="8" spans="2:14" x14ac:dyDescent="0.5">
      <c r="B8" s="10" t="s">
        <v>4</v>
      </c>
      <c r="C8" s="12">
        <v>0.2</v>
      </c>
      <c r="D8" s="4"/>
      <c r="E8" s="59" t="s">
        <v>46</v>
      </c>
      <c r="F8" s="65"/>
      <c r="G8" s="64">
        <f>G5-G6</f>
        <v>0</v>
      </c>
      <c r="H8" s="64">
        <f t="shared" ref="H8:K8" si="6">H5-H6</f>
        <v>0</v>
      </c>
      <c r="I8" s="64">
        <f t="shared" si="6"/>
        <v>1081694.4991999995</v>
      </c>
      <c r="J8" s="64">
        <f t="shared" si="6"/>
        <v>1916302.4999999986</v>
      </c>
      <c r="K8" s="64">
        <f t="shared" si="6"/>
        <v>2203747.8749999991</v>
      </c>
    </row>
    <row r="9" spans="2:14" x14ac:dyDescent="0.5">
      <c r="B9" s="10" t="s">
        <v>10</v>
      </c>
      <c r="C9" s="13">
        <f>4</f>
        <v>4</v>
      </c>
      <c r="D9" s="4"/>
      <c r="E9" s="67" t="s">
        <v>49</v>
      </c>
      <c r="F9" s="65"/>
      <c r="G9" s="68"/>
      <c r="H9" s="68">
        <f>G8+H8</f>
        <v>0</v>
      </c>
      <c r="I9" s="69">
        <f>H9+I8</f>
        <v>1081694.4991999995</v>
      </c>
      <c r="J9" s="69">
        <f>I9+J8</f>
        <v>2997996.9991999981</v>
      </c>
      <c r="K9" s="69">
        <f>J9+K8</f>
        <v>5201744.8741999976</v>
      </c>
    </row>
    <row r="10" spans="2:14" x14ac:dyDescent="0.5">
      <c r="B10" s="10" t="s">
        <v>5</v>
      </c>
      <c r="C10" s="12">
        <v>0.25</v>
      </c>
      <c r="D10" s="4"/>
    </row>
    <row r="11" spans="2:14" x14ac:dyDescent="0.5">
      <c r="B11" s="10" t="s">
        <v>6</v>
      </c>
      <c r="C11" s="12">
        <f>10%</f>
        <v>0.1</v>
      </c>
      <c r="D11" s="4"/>
    </row>
    <row r="12" spans="2:14" x14ac:dyDescent="0.5">
      <c r="B12" s="10" t="s">
        <v>7</v>
      </c>
      <c r="C12" s="12">
        <v>0.15</v>
      </c>
      <c r="D12" s="4"/>
    </row>
    <row r="13" spans="2:14" ht="17" x14ac:dyDescent="0.5">
      <c r="B13" s="10" t="s">
        <v>8</v>
      </c>
      <c r="C13" s="12">
        <v>0.1</v>
      </c>
      <c r="D13" s="4"/>
      <c r="E13" s="19" t="s">
        <v>39</v>
      </c>
      <c r="F13" s="20"/>
      <c r="G13" s="20"/>
      <c r="H13" s="20"/>
      <c r="I13" s="20"/>
      <c r="J13" s="20"/>
      <c r="K13" s="20"/>
    </row>
    <row r="14" spans="2:14" x14ac:dyDescent="0.5">
      <c r="B14" s="10" t="s">
        <v>23</v>
      </c>
      <c r="C14" s="12">
        <v>0.12</v>
      </c>
      <c r="D14" s="4"/>
      <c r="E14" s="21"/>
      <c r="F14" s="21"/>
      <c r="G14" s="21"/>
      <c r="H14" s="21"/>
      <c r="I14" s="21"/>
      <c r="J14" s="21"/>
      <c r="K14" s="21"/>
    </row>
    <row r="15" spans="2:14" ht="17" thickBot="1" x14ac:dyDescent="0.55000000000000004">
      <c r="B15" s="4"/>
      <c r="C15" s="4"/>
      <c r="D15" s="4"/>
      <c r="E15" s="22" t="s">
        <v>34</v>
      </c>
      <c r="F15" s="23" t="s">
        <v>54</v>
      </c>
      <c r="G15" s="23">
        <v>2026</v>
      </c>
      <c r="H15" s="23">
        <f t="shared" ref="H15:K16" si="7">G15+1</f>
        <v>2027</v>
      </c>
      <c r="I15" s="23">
        <f t="shared" si="7"/>
        <v>2028</v>
      </c>
      <c r="J15" s="23">
        <f t="shared" si="7"/>
        <v>2029</v>
      </c>
      <c r="K15" s="23">
        <f t="shared" si="7"/>
        <v>2030</v>
      </c>
    </row>
    <row r="16" spans="2:14" s="1" customFormat="1" ht="17.5" thickBot="1" x14ac:dyDescent="0.55000000000000004">
      <c r="B16" s="14" t="s">
        <v>9</v>
      </c>
      <c r="C16" s="15"/>
      <c r="D16" s="2"/>
      <c r="E16" s="24"/>
      <c r="F16" s="25">
        <v>0</v>
      </c>
      <c r="G16" s="25">
        <f>F16+1</f>
        <v>1</v>
      </c>
      <c r="H16" s="25">
        <f t="shared" si="7"/>
        <v>2</v>
      </c>
      <c r="I16" s="25">
        <f t="shared" si="7"/>
        <v>3</v>
      </c>
      <c r="J16" s="25">
        <f t="shared" si="7"/>
        <v>4</v>
      </c>
      <c r="K16" s="25">
        <f t="shared" si="7"/>
        <v>5</v>
      </c>
      <c r="L16" s="2"/>
      <c r="M16" s="2"/>
      <c r="N16" s="2"/>
    </row>
    <row r="17" spans="1:14" x14ac:dyDescent="0.5">
      <c r="B17" s="16"/>
      <c r="C17" s="16"/>
      <c r="E17" s="26" t="s">
        <v>11</v>
      </c>
      <c r="F17" s="27">
        <f>C3</f>
        <v>8000000</v>
      </c>
      <c r="G17" s="28">
        <f>F17*(1+$C$6)</f>
        <v>9200000</v>
      </c>
      <c r="H17" s="28">
        <f t="shared" ref="H17:K17" si="8">G17*(1+$C$6)</f>
        <v>10580000</v>
      </c>
      <c r="I17" s="28">
        <f t="shared" si="8"/>
        <v>12166999.999999998</v>
      </c>
      <c r="J17" s="28">
        <f t="shared" si="8"/>
        <v>13992049.999999996</v>
      </c>
      <c r="K17" s="28">
        <f>J17*(1+$C$6)</f>
        <v>16090857.499999994</v>
      </c>
    </row>
    <row r="18" spans="1:14" x14ac:dyDescent="0.5">
      <c r="A18" s="5"/>
      <c r="B18" s="17" t="s">
        <v>30</v>
      </c>
      <c r="C18" s="18">
        <f>C3*C7</f>
        <v>2800000</v>
      </c>
      <c r="D18" s="4"/>
      <c r="E18" s="26" t="s">
        <v>12</v>
      </c>
      <c r="F18" s="29"/>
      <c r="G18" s="30">
        <f>G17*$C$7</f>
        <v>3220000</v>
      </c>
      <c r="H18" s="30">
        <f t="shared" ref="H18:K18" si="9">H17*$C$7</f>
        <v>3702999.9999999995</v>
      </c>
      <c r="I18" s="30">
        <f t="shared" si="9"/>
        <v>4258449.9999999991</v>
      </c>
      <c r="J18" s="30">
        <f t="shared" si="9"/>
        <v>4897217.4999999981</v>
      </c>
      <c r="K18" s="30">
        <f t="shared" si="9"/>
        <v>5631800.1249999981</v>
      </c>
    </row>
    <row r="19" spans="1:14" x14ac:dyDescent="0.5">
      <c r="B19" s="17" t="s">
        <v>31</v>
      </c>
      <c r="C19" s="72">
        <f>C18*C5</f>
        <v>11200000</v>
      </c>
      <c r="D19" s="4"/>
      <c r="E19" s="26" t="s">
        <v>13</v>
      </c>
      <c r="F19" s="31"/>
      <c r="G19" s="30">
        <f>G17*$C$11</f>
        <v>920000</v>
      </c>
      <c r="H19" s="30">
        <f t="shared" ref="H19:K19" si="10">H17*$C$11</f>
        <v>1058000</v>
      </c>
      <c r="I19" s="30">
        <f t="shared" si="10"/>
        <v>1216699.9999999998</v>
      </c>
      <c r="J19" s="30">
        <f t="shared" si="10"/>
        <v>1399204.9999999998</v>
      </c>
      <c r="K19" s="30">
        <f t="shared" si="10"/>
        <v>1609085.7499999995</v>
      </c>
    </row>
    <row r="20" spans="1:14" x14ac:dyDescent="0.5">
      <c r="B20" s="17" t="s">
        <v>32</v>
      </c>
      <c r="C20" s="18">
        <f>C19*C10</f>
        <v>2800000</v>
      </c>
      <c r="D20" s="4"/>
      <c r="E20" s="26" t="s">
        <v>14</v>
      </c>
      <c r="F20" s="31"/>
      <c r="G20" s="74">
        <f>G18-G19</f>
        <v>2300000</v>
      </c>
      <c r="H20" s="74">
        <f t="shared" ref="H20:K20" si="11">H18-H19</f>
        <v>2644999.9999999995</v>
      </c>
      <c r="I20" s="74">
        <f t="shared" si="11"/>
        <v>3041749.9999999991</v>
      </c>
      <c r="J20" s="74">
        <f t="shared" si="11"/>
        <v>3498012.4999999981</v>
      </c>
      <c r="K20" s="74">
        <f t="shared" si="11"/>
        <v>4022714.3749999986</v>
      </c>
    </row>
    <row r="21" spans="1:14" x14ac:dyDescent="0.5">
      <c r="B21" s="17" t="s">
        <v>33</v>
      </c>
      <c r="C21" s="18">
        <f>C19-C20</f>
        <v>8400000</v>
      </c>
      <c r="D21" s="4"/>
      <c r="E21" s="26" t="s">
        <v>19</v>
      </c>
      <c r="F21" s="31"/>
      <c r="G21" s="32">
        <f>C20*C14</f>
        <v>336000</v>
      </c>
      <c r="H21" s="32">
        <f>H4</f>
        <v>217056</v>
      </c>
      <c r="I21" s="32">
        <f t="shared" ref="I21:K21" si="12">I4</f>
        <v>64013.376000000033</v>
      </c>
      <c r="J21" s="32">
        <f t="shared" si="12"/>
        <v>0</v>
      </c>
      <c r="K21" s="32">
        <f t="shared" si="12"/>
        <v>0</v>
      </c>
    </row>
    <row r="22" spans="1:14" x14ac:dyDescent="0.5">
      <c r="E22" s="26" t="s">
        <v>15</v>
      </c>
      <c r="F22" s="31"/>
      <c r="G22" s="32">
        <f>G20-G21</f>
        <v>1964000</v>
      </c>
      <c r="H22" s="32">
        <f t="shared" ref="H22:K22" si="13">H20-H21</f>
        <v>2427943.9999999995</v>
      </c>
      <c r="I22" s="32">
        <f t="shared" si="13"/>
        <v>2977736.6239999989</v>
      </c>
      <c r="J22" s="32">
        <f t="shared" si="13"/>
        <v>3498012.4999999981</v>
      </c>
      <c r="K22" s="32">
        <f t="shared" si="13"/>
        <v>4022714.3749999986</v>
      </c>
    </row>
    <row r="23" spans="1:14" s="1" customFormat="1" ht="17" x14ac:dyDescent="0.5">
      <c r="E23" s="26" t="s">
        <v>28</v>
      </c>
      <c r="F23" s="31"/>
      <c r="G23" s="32">
        <f>G22*$C$8</f>
        <v>392800</v>
      </c>
      <c r="H23" s="32">
        <f>H22*$C$8</f>
        <v>485588.79999999993</v>
      </c>
      <c r="I23" s="32">
        <f t="shared" ref="H23:K23" si="14">I22*$C$8</f>
        <v>595547.32479999983</v>
      </c>
      <c r="J23" s="32">
        <f t="shared" si="14"/>
        <v>699602.49999999965</v>
      </c>
      <c r="K23" s="32">
        <f t="shared" si="14"/>
        <v>804542.87499999977</v>
      </c>
      <c r="L23" s="2"/>
      <c r="M23" s="2"/>
      <c r="N23" s="2"/>
    </row>
    <row r="24" spans="1:14" x14ac:dyDescent="0.5">
      <c r="E24" s="24" t="s">
        <v>16</v>
      </c>
      <c r="F24" s="33"/>
      <c r="G24" s="34">
        <f>G22-G23</f>
        <v>1571200</v>
      </c>
      <c r="H24" s="34">
        <f>H22-H23</f>
        <v>1942355.1999999997</v>
      </c>
      <c r="I24" s="34">
        <f t="shared" ref="H24:K24" si="15">I22-I23</f>
        <v>2382189.2991999993</v>
      </c>
      <c r="J24" s="34">
        <f t="shared" si="15"/>
        <v>2798409.9999999986</v>
      </c>
      <c r="K24" s="34">
        <f t="shared" si="15"/>
        <v>3218171.4999999991</v>
      </c>
    </row>
    <row r="25" spans="1:14" ht="17" x14ac:dyDescent="0.5">
      <c r="B25" s="50" t="s">
        <v>40</v>
      </c>
      <c r="C25" s="51"/>
    </row>
    <row r="26" spans="1:14" ht="17" x14ac:dyDescent="0.5">
      <c r="B26" s="52"/>
      <c r="C26" s="52"/>
      <c r="E26" s="35" t="s">
        <v>51</v>
      </c>
      <c r="F26" s="36"/>
      <c r="G26" s="36"/>
      <c r="H26" s="36"/>
      <c r="I26" s="36"/>
      <c r="J26" s="36"/>
      <c r="K26" s="36"/>
    </row>
    <row r="27" spans="1:14" x14ac:dyDescent="0.5">
      <c r="B27" s="53" t="s">
        <v>35</v>
      </c>
      <c r="C27" s="57">
        <f>K18</f>
        <v>5631800.1249999981</v>
      </c>
      <c r="E27" s="37"/>
      <c r="F27" s="37"/>
      <c r="G27" s="37"/>
      <c r="H27" s="37"/>
      <c r="I27" s="37"/>
      <c r="J27" s="37"/>
      <c r="K27" s="37"/>
    </row>
    <row r="28" spans="1:14" ht="17" thickBot="1" x14ac:dyDescent="0.55000000000000004">
      <c r="B28" s="53" t="s">
        <v>36</v>
      </c>
      <c r="C28" s="57">
        <f>C27*C9</f>
        <v>22527200.499999993</v>
      </c>
      <c r="E28" s="38" t="s">
        <v>52</v>
      </c>
      <c r="F28" s="39" t="s">
        <v>54</v>
      </c>
      <c r="G28" s="39">
        <v>2026</v>
      </c>
      <c r="H28" s="39">
        <f t="shared" ref="H28:K29" si="16">G28+1</f>
        <v>2027</v>
      </c>
      <c r="I28" s="39">
        <f t="shared" si="16"/>
        <v>2028</v>
      </c>
      <c r="J28" s="39">
        <f t="shared" si="16"/>
        <v>2029</v>
      </c>
      <c r="K28" s="39">
        <f t="shared" si="16"/>
        <v>2030</v>
      </c>
    </row>
    <row r="29" spans="1:14" x14ac:dyDescent="0.5">
      <c r="B29" s="53" t="s">
        <v>37</v>
      </c>
      <c r="C29" s="57">
        <f>K7</f>
        <v>0</v>
      </c>
      <c r="E29" s="40"/>
      <c r="F29" s="41"/>
      <c r="G29" s="41"/>
      <c r="H29" s="41"/>
      <c r="I29" s="41"/>
      <c r="J29" s="41"/>
      <c r="K29" s="41"/>
    </row>
    <row r="30" spans="1:14" x14ac:dyDescent="0.5">
      <c r="B30" s="53" t="s">
        <v>50</v>
      </c>
      <c r="C30" s="57">
        <f>K9</f>
        <v>5201744.8741999976</v>
      </c>
      <c r="E30" s="42" t="s">
        <v>12</v>
      </c>
      <c r="F30" s="43"/>
      <c r="G30" s="44">
        <f>G18</f>
        <v>3220000</v>
      </c>
      <c r="H30" s="44">
        <f>H18</f>
        <v>3702999.9999999995</v>
      </c>
      <c r="I30" s="44">
        <f t="shared" ref="H30:K30" si="17">I18</f>
        <v>4258449.9999999991</v>
      </c>
      <c r="J30" s="44">
        <f t="shared" si="17"/>
        <v>4897217.4999999981</v>
      </c>
      <c r="K30" s="44">
        <f t="shared" si="17"/>
        <v>5631800.1249999981</v>
      </c>
    </row>
    <row r="31" spans="1:14" x14ac:dyDescent="0.5">
      <c r="B31" s="53" t="s">
        <v>38</v>
      </c>
      <c r="C31" s="57">
        <f>C28+C30</f>
        <v>27728945.37419999</v>
      </c>
      <c r="E31" s="42" t="s">
        <v>19</v>
      </c>
      <c r="F31" s="45"/>
      <c r="G31" s="46">
        <f>G21</f>
        <v>336000</v>
      </c>
      <c r="H31" s="46">
        <f>H21</f>
        <v>217056</v>
      </c>
      <c r="I31" s="46">
        <f t="shared" ref="H31:K31" si="18">I21</f>
        <v>64013.376000000033</v>
      </c>
      <c r="J31" s="46">
        <f t="shared" si="18"/>
        <v>0</v>
      </c>
      <c r="K31" s="46">
        <f t="shared" si="18"/>
        <v>0</v>
      </c>
    </row>
    <row r="32" spans="1:14" x14ac:dyDescent="0.5">
      <c r="B32" s="52"/>
      <c r="C32" s="52"/>
      <c r="E32" s="42" t="s">
        <v>47</v>
      </c>
      <c r="F32" s="47"/>
      <c r="G32" s="46">
        <f>G23</f>
        <v>392800</v>
      </c>
      <c r="H32" s="46">
        <f>H23</f>
        <v>485588.79999999993</v>
      </c>
      <c r="I32" s="46">
        <f t="shared" ref="H32:K32" si="19">I23</f>
        <v>595547.32479999983</v>
      </c>
      <c r="J32" s="46">
        <f t="shared" si="19"/>
        <v>699602.49999999965</v>
      </c>
      <c r="K32" s="46">
        <f t="shared" si="19"/>
        <v>804542.87499999977</v>
      </c>
    </row>
    <row r="33" spans="2:14" ht="17" x14ac:dyDescent="0.5">
      <c r="B33" s="50" t="s">
        <v>18</v>
      </c>
      <c r="C33" s="51"/>
      <c r="E33" s="42" t="s">
        <v>17</v>
      </c>
      <c r="F33" s="47"/>
      <c r="G33" s="46">
        <f>G17*$C$12</f>
        <v>1380000</v>
      </c>
      <c r="H33" s="46">
        <f>H17*$C$12</f>
        <v>1587000</v>
      </c>
      <c r="I33" s="46">
        <f t="shared" ref="H33:K33" si="20">I17*$C$12</f>
        <v>1825049.9999999998</v>
      </c>
      <c r="J33" s="46">
        <f t="shared" si="20"/>
        <v>2098807.4999999995</v>
      </c>
      <c r="K33" s="46">
        <f t="shared" si="20"/>
        <v>2413628.6249999991</v>
      </c>
    </row>
    <row r="34" spans="2:14" x14ac:dyDescent="0.5">
      <c r="B34" s="52"/>
      <c r="C34" s="52"/>
      <c r="E34" s="42" t="s">
        <v>48</v>
      </c>
      <c r="F34" s="47"/>
      <c r="G34" s="46">
        <f>(G17*$C$13) - (F17*$C$13)</f>
        <v>120000</v>
      </c>
      <c r="H34" s="46">
        <f t="shared" ref="H34:K34" si="21">(H17*$C$13) - (G17*$C$13)</f>
        <v>138000</v>
      </c>
      <c r="I34" s="46">
        <f t="shared" si="21"/>
        <v>158699.99999999977</v>
      </c>
      <c r="J34" s="46">
        <f t="shared" si="21"/>
        <v>182505</v>
      </c>
      <c r="K34" s="46">
        <f t="shared" si="21"/>
        <v>209880.74999999977</v>
      </c>
    </row>
    <row r="35" spans="2:14" x14ac:dyDescent="0.5">
      <c r="B35" s="54" t="s">
        <v>20</v>
      </c>
      <c r="C35" s="58">
        <f>C31/C21</f>
        <v>3.3010649254999986</v>
      </c>
      <c r="D35" s="77" t="str">
        <f ca="1">_xlfn.FORMULATEXT(C35)</f>
        <v>=C31/C21</v>
      </c>
      <c r="E35" s="42" t="s">
        <v>22</v>
      </c>
      <c r="F35" s="47"/>
      <c r="G35" s="75">
        <f>G30-G31-G32-G33-G34</f>
        <v>991200</v>
      </c>
      <c r="H35" s="75">
        <f t="shared" ref="H35:K35" si="22">H30-H31-H32-H33-H34</f>
        <v>1275355.1999999997</v>
      </c>
      <c r="I35" s="75">
        <f t="shared" si="22"/>
        <v>1615139.2991999998</v>
      </c>
      <c r="J35" s="75">
        <f t="shared" si="22"/>
        <v>1916302.4999999986</v>
      </c>
      <c r="K35" s="75">
        <f t="shared" si="22"/>
        <v>2203747.8749999991</v>
      </c>
    </row>
    <row r="36" spans="2:14" s="1" customFormat="1" ht="17" x14ac:dyDescent="0.5">
      <c r="B36" s="54" t="s">
        <v>21</v>
      </c>
      <c r="C36" s="55">
        <f>((C31/C21)^(1/K16))-1</f>
        <v>0.2697868150596161</v>
      </c>
      <c r="D36" s="77" t="str">
        <f ca="1">_xlfn.FORMULATEXT(C36)</f>
        <v>=((C31/C21)^(1/K16))-1</v>
      </c>
      <c r="E36" s="40"/>
      <c r="F36" s="48"/>
      <c r="G36" s="49"/>
      <c r="H36" s="49"/>
      <c r="I36" s="49"/>
      <c r="J36" s="49"/>
      <c r="K36" s="49"/>
      <c r="L36" s="2"/>
      <c r="M36" s="2"/>
      <c r="N36" s="2"/>
    </row>
    <row r="37" spans="2:14" ht="32.5" x14ac:dyDescent="0.5">
      <c r="B37" s="56" t="s">
        <v>25</v>
      </c>
      <c r="C37" s="55"/>
    </row>
    <row r="38" spans="2:14" ht="32.5" x14ac:dyDescent="0.5">
      <c r="B38" s="56" t="s">
        <v>26</v>
      </c>
      <c r="C38" s="55"/>
    </row>
    <row r="39" spans="2:14" ht="32.5" x14ac:dyDescent="0.5">
      <c r="B39" s="56" t="s">
        <v>27</v>
      </c>
      <c r="C39" s="55"/>
    </row>
    <row r="42" spans="2:14" x14ac:dyDescent="0.5">
      <c r="B42" s="53"/>
    </row>
    <row r="49" spans="4:14" s="1" customFormat="1" ht="17" x14ac:dyDescent="0.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7" spans="4:14" s="1" customFormat="1" ht="17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68B7-E56A-46DA-B0DC-E977D44D9CF2}">
  <dimension ref="A1:N57"/>
  <sheetViews>
    <sheetView showGridLines="0" topLeftCell="A18" zoomScale="115" zoomScaleNormal="115" workbookViewId="0">
      <selection activeCell="C32" sqref="C32"/>
    </sheetView>
  </sheetViews>
  <sheetFormatPr defaultColWidth="9.1796875" defaultRowHeight="16.5" x14ac:dyDescent="0.5"/>
  <cols>
    <col min="1" max="1" width="6.26953125" style="3" customWidth="1"/>
    <col min="2" max="2" width="40.81640625" style="3" customWidth="1"/>
    <col min="3" max="3" width="15" style="3" customWidth="1"/>
    <col min="4" max="4" width="10.453125" style="3" bestFit="1" customWidth="1"/>
    <col min="5" max="5" width="20.26953125" style="3" bestFit="1" customWidth="1"/>
    <col min="6" max="6" width="14" style="3" bestFit="1" customWidth="1"/>
    <col min="7" max="7" width="11.6328125" style="3" bestFit="1" customWidth="1"/>
    <col min="8" max="8" width="11.81640625" style="3" bestFit="1" customWidth="1"/>
    <col min="9" max="9" width="11.36328125" style="3" bestFit="1" customWidth="1"/>
    <col min="10" max="10" width="11.08984375" style="3" bestFit="1" customWidth="1"/>
    <col min="11" max="11" width="11.36328125" style="3" bestFit="1" customWidth="1"/>
    <col min="12" max="16384" width="9.1796875" style="3"/>
  </cols>
  <sheetData>
    <row r="1" spans="2:14" s="1" customFormat="1" ht="17" x14ac:dyDescent="0.5">
      <c r="B1" s="7" t="s">
        <v>55</v>
      </c>
      <c r="C1" s="8"/>
      <c r="D1" s="2"/>
      <c r="E1" s="1" t="s">
        <v>53</v>
      </c>
    </row>
    <row r="2" spans="2:14" x14ac:dyDescent="0.5">
      <c r="B2" s="9"/>
      <c r="C2" s="9"/>
      <c r="E2" s="59"/>
      <c r="F2" s="71" t="s">
        <v>54</v>
      </c>
      <c r="G2" s="66">
        <v>2026</v>
      </c>
      <c r="H2" s="66">
        <v>2026</v>
      </c>
      <c r="I2" s="66">
        <v>2026</v>
      </c>
      <c r="J2" s="66">
        <v>2026</v>
      </c>
      <c r="K2" s="66">
        <v>2026</v>
      </c>
    </row>
    <row r="3" spans="2:14" x14ac:dyDescent="0.5">
      <c r="B3" s="10" t="s">
        <v>29</v>
      </c>
      <c r="C3" s="11">
        <v>8000000</v>
      </c>
      <c r="D3" s="4"/>
      <c r="E3" s="59" t="s">
        <v>41</v>
      </c>
      <c r="F3" s="65">
        <v>0</v>
      </c>
      <c r="G3" s="61">
        <f>C20</f>
        <v>3200000</v>
      </c>
      <c r="H3" s="62">
        <f>G7</f>
        <v>2247200</v>
      </c>
      <c r="I3" s="62">
        <f t="shared" ref="I3:J3" si="0">H7</f>
        <v>1013931.2000000002</v>
      </c>
      <c r="J3" s="62">
        <f t="shared" si="0"/>
        <v>0</v>
      </c>
      <c r="K3" s="62">
        <f>J7</f>
        <v>0</v>
      </c>
    </row>
    <row r="4" spans="2:14" x14ac:dyDescent="0.5">
      <c r="B4" s="10" t="s">
        <v>0</v>
      </c>
      <c r="C4" s="12">
        <v>0.4</v>
      </c>
      <c r="D4" s="4"/>
      <c r="E4" s="59" t="s">
        <v>42</v>
      </c>
      <c r="F4" s="65"/>
      <c r="G4" s="60">
        <f>G3*$C$14</f>
        <v>384000</v>
      </c>
      <c r="H4" s="60">
        <f>H3*$C$14</f>
        <v>269664</v>
      </c>
      <c r="I4" s="60">
        <f>I3*$C$14</f>
        <v>121671.74400000002</v>
      </c>
      <c r="J4" s="60">
        <f>J3*$C$14</f>
        <v>0</v>
      </c>
      <c r="K4" s="60">
        <f>K3*$C$14</f>
        <v>0</v>
      </c>
    </row>
    <row r="5" spans="2:14" x14ac:dyDescent="0.5">
      <c r="B5" s="10" t="s">
        <v>1</v>
      </c>
      <c r="C5" s="13">
        <f>4</f>
        <v>4</v>
      </c>
      <c r="D5" s="4"/>
      <c r="E5" s="59" t="s">
        <v>43</v>
      </c>
      <c r="F5" s="65"/>
      <c r="G5" s="64">
        <f>G35</f>
        <v>952800</v>
      </c>
      <c r="H5" s="63">
        <f>H35</f>
        <v>1233268.7999999998</v>
      </c>
      <c r="I5" s="63">
        <f>I35</f>
        <v>1569012.6047999999</v>
      </c>
      <c r="J5" s="63">
        <f>J35</f>
        <v>1916302.4999999986</v>
      </c>
      <c r="K5" s="63">
        <f>K35</f>
        <v>2203747.8749999991</v>
      </c>
    </row>
    <row r="6" spans="2:14" x14ac:dyDescent="0.5">
      <c r="B6" s="10" t="s">
        <v>2</v>
      </c>
      <c r="C6" s="12">
        <v>0.15</v>
      </c>
      <c r="D6" s="4"/>
      <c r="E6" s="59" t="s">
        <v>44</v>
      </c>
      <c r="F6" s="65"/>
      <c r="G6" s="64">
        <f>MIN(G5,G3)</f>
        <v>952800</v>
      </c>
      <c r="H6" s="64">
        <f>MIN(H5,H3)</f>
        <v>1233268.7999999998</v>
      </c>
      <c r="I6" s="64">
        <f>MIN(I5,I3)</f>
        <v>1013931.2000000002</v>
      </c>
      <c r="J6" s="64">
        <f t="shared" ref="J6" si="1">MIN(J5,J3)</f>
        <v>0</v>
      </c>
      <c r="K6" s="64">
        <f>MIN(K5,K3)</f>
        <v>0</v>
      </c>
    </row>
    <row r="7" spans="2:14" x14ac:dyDescent="0.5">
      <c r="B7" s="10" t="s">
        <v>3</v>
      </c>
      <c r="C7" s="12">
        <v>0.35</v>
      </c>
      <c r="D7" s="4"/>
      <c r="E7" s="59" t="s">
        <v>45</v>
      </c>
      <c r="F7" s="70"/>
      <c r="G7" s="61">
        <f>G3-G6</f>
        <v>2247200</v>
      </c>
      <c r="H7" s="61">
        <f>H3-H6</f>
        <v>1013931.2000000002</v>
      </c>
      <c r="I7" s="61">
        <f>I3-I6</f>
        <v>0</v>
      </c>
      <c r="J7" s="61">
        <f t="shared" ref="J7" si="2">J3-J6</f>
        <v>0</v>
      </c>
      <c r="K7" s="61">
        <f>K3-K6</f>
        <v>0</v>
      </c>
    </row>
    <row r="8" spans="2:14" x14ac:dyDescent="0.5">
      <c r="B8" s="10" t="s">
        <v>4</v>
      </c>
      <c r="C8" s="12">
        <v>0.2</v>
      </c>
      <c r="D8" s="4"/>
      <c r="E8" s="59" t="s">
        <v>46</v>
      </c>
      <c r="F8" s="65"/>
      <c r="G8" s="64">
        <f>MAX(0,G5-G6)</f>
        <v>0</v>
      </c>
      <c r="H8" s="64">
        <f t="shared" ref="H8" si="3">MAX(0,H5-H6)</f>
        <v>0</v>
      </c>
      <c r="I8" s="64">
        <f>MAX(0,I5-I6)</f>
        <v>555081.40479999967</v>
      </c>
      <c r="J8" s="64">
        <f>MAX(0,J5-J6)</f>
        <v>1916302.4999999986</v>
      </c>
      <c r="K8" s="64">
        <f>MAX(0,K5-K6)</f>
        <v>2203747.8749999991</v>
      </c>
    </row>
    <row r="9" spans="2:14" x14ac:dyDescent="0.5">
      <c r="B9" s="10" t="s">
        <v>10</v>
      </c>
      <c r="C9" s="13">
        <f>4</f>
        <v>4</v>
      </c>
      <c r="D9" s="4"/>
      <c r="E9" s="67" t="s">
        <v>49</v>
      </c>
      <c r="F9" s="65"/>
      <c r="G9" s="68">
        <f>G8</f>
        <v>0</v>
      </c>
      <c r="H9" s="68">
        <f>G9+H8</f>
        <v>0</v>
      </c>
      <c r="I9" s="69">
        <f>H9+I8</f>
        <v>555081.40479999967</v>
      </c>
      <c r="J9" s="69">
        <f>I9+J8</f>
        <v>2471383.9047999983</v>
      </c>
      <c r="K9" s="69">
        <f t="shared" ref="K9" si="4">J9+K8</f>
        <v>4675131.7797999978</v>
      </c>
    </row>
    <row r="10" spans="2:14" x14ac:dyDescent="0.5">
      <c r="B10" s="10" t="s">
        <v>5</v>
      </c>
      <c r="C10" s="12">
        <v>0.25</v>
      </c>
      <c r="D10" s="4"/>
    </row>
    <row r="11" spans="2:14" x14ac:dyDescent="0.5">
      <c r="B11" s="10" t="s">
        <v>6</v>
      </c>
      <c r="C11" s="12">
        <f>10%</f>
        <v>0.1</v>
      </c>
      <c r="D11" s="4"/>
    </row>
    <row r="12" spans="2:14" x14ac:dyDescent="0.5">
      <c r="B12" s="10" t="s">
        <v>7</v>
      </c>
      <c r="C12" s="12">
        <v>0.15</v>
      </c>
      <c r="D12" s="4"/>
    </row>
    <row r="13" spans="2:14" ht="17" x14ac:dyDescent="0.5">
      <c r="B13" s="10" t="s">
        <v>8</v>
      </c>
      <c r="C13" s="12">
        <v>0.1</v>
      </c>
      <c r="D13" s="4"/>
      <c r="E13" s="19" t="s">
        <v>39</v>
      </c>
      <c r="F13" s="20"/>
      <c r="G13" s="20"/>
      <c r="H13" s="20"/>
      <c r="I13" s="20"/>
      <c r="J13" s="20"/>
      <c r="K13" s="20"/>
    </row>
    <row r="14" spans="2:14" x14ac:dyDescent="0.5">
      <c r="B14" s="10" t="s">
        <v>23</v>
      </c>
      <c r="C14" s="12">
        <v>0.12</v>
      </c>
      <c r="D14" s="4"/>
      <c r="E14" s="21"/>
      <c r="F14" s="21"/>
      <c r="G14" s="21"/>
      <c r="H14" s="21"/>
      <c r="I14" s="21"/>
      <c r="J14" s="21"/>
      <c r="K14" s="21"/>
    </row>
    <row r="15" spans="2:14" ht="17" thickBot="1" x14ac:dyDescent="0.55000000000000004">
      <c r="B15" s="4"/>
      <c r="C15" s="4"/>
      <c r="D15" s="4"/>
      <c r="E15" s="22" t="s">
        <v>34</v>
      </c>
      <c r="F15" s="23" t="s">
        <v>54</v>
      </c>
      <c r="G15" s="23">
        <v>2026</v>
      </c>
      <c r="H15" s="23">
        <f t="shared" ref="H15:K16" si="5">G15+1</f>
        <v>2027</v>
      </c>
      <c r="I15" s="23">
        <f t="shared" si="5"/>
        <v>2028</v>
      </c>
      <c r="J15" s="23">
        <f t="shared" si="5"/>
        <v>2029</v>
      </c>
      <c r="K15" s="23">
        <f t="shared" si="5"/>
        <v>2030</v>
      </c>
    </row>
    <row r="16" spans="2:14" s="1" customFormat="1" ht="17.5" thickBot="1" x14ac:dyDescent="0.55000000000000004">
      <c r="B16" s="14" t="s">
        <v>9</v>
      </c>
      <c r="C16" s="15"/>
      <c r="D16" s="2"/>
      <c r="E16" s="24"/>
      <c r="F16" s="25">
        <v>0</v>
      </c>
      <c r="G16" s="25">
        <f>F16+1</f>
        <v>1</v>
      </c>
      <c r="H16" s="25">
        <f t="shared" si="5"/>
        <v>2</v>
      </c>
      <c r="I16" s="25">
        <f t="shared" si="5"/>
        <v>3</v>
      </c>
      <c r="J16" s="25">
        <f t="shared" si="5"/>
        <v>4</v>
      </c>
      <c r="K16" s="25">
        <f t="shared" si="5"/>
        <v>5</v>
      </c>
      <c r="L16" s="2"/>
      <c r="M16" s="2"/>
      <c r="N16" s="2"/>
    </row>
    <row r="17" spans="1:14" x14ac:dyDescent="0.5">
      <c r="B17" s="16"/>
      <c r="C17" s="16"/>
      <c r="E17" s="26" t="s">
        <v>11</v>
      </c>
      <c r="F17" s="27">
        <f>C3</f>
        <v>8000000</v>
      </c>
      <c r="G17" s="28">
        <f>F17*(1+$C$6)</f>
        <v>9200000</v>
      </c>
      <c r="H17" s="28">
        <f>G17*(1+$C$6)</f>
        <v>10580000</v>
      </c>
      <c r="I17" s="28">
        <f t="shared" ref="I17:K17" si="6">H17*(1+$C$6)</f>
        <v>12166999.999999998</v>
      </c>
      <c r="J17" s="28">
        <f t="shared" si="6"/>
        <v>13992049.999999996</v>
      </c>
      <c r="K17" s="28">
        <f t="shared" si="6"/>
        <v>16090857.499999994</v>
      </c>
    </row>
    <row r="18" spans="1:14" x14ac:dyDescent="0.5">
      <c r="A18" s="5"/>
      <c r="B18" s="17" t="s">
        <v>30</v>
      </c>
      <c r="C18" s="18">
        <f>C3*C4</f>
        <v>3200000</v>
      </c>
      <c r="D18" s="4"/>
      <c r="E18" s="26" t="s">
        <v>12</v>
      </c>
      <c r="F18" s="29">
        <f>F17*C4</f>
        <v>3200000</v>
      </c>
      <c r="G18" s="30">
        <f t="shared" ref="G18:K18" si="7">$C$7*G17</f>
        <v>3220000</v>
      </c>
      <c r="H18" s="30">
        <f t="shared" si="7"/>
        <v>3702999.9999999995</v>
      </c>
      <c r="I18" s="30">
        <f t="shared" si="7"/>
        <v>4258449.9999999991</v>
      </c>
      <c r="J18" s="30">
        <f t="shared" si="7"/>
        <v>4897217.4999999981</v>
      </c>
      <c r="K18" s="30">
        <f t="shared" si="7"/>
        <v>5631800.1249999981</v>
      </c>
    </row>
    <row r="19" spans="1:14" x14ac:dyDescent="0.5">
      <c r="B19" s="17" t="s">
        <v>31</v>
      </c>
      <c r="C19" s="18">
        <f>+C18*C5</f>
        <v>12800000</v>
      </c>
      <c r="D19" s="4"/>
      <c r="E19" s="26" t="s">
        <v>13</v>
      </c>
      <c r="F19" s="31" t="s">
        <v>24</v>
      </c>
      <c r="G19" s="30">
        <f>$C$11*G17</f>
        <v>920000</v>
      </c>
      <c r="H19" s="30">
        <f>$C$11*H17</f>
        <v>1058000</v>
      </c>
      <c r="I19" s="30">
        <f>$C$11*I17</f>
        <v>1216699.9999999998</v>
      </c>
      <c r="J19" s="30">
        <f>$C$11*J17</f>
        <v>1399204.9999999998</v>
      </c>
      <c r="K19" s="30">
        <f>$C$11*K17</f>
        <v>1609085.7499999995</v>
      </c>
    </row>
    <row r="20" spans="1:14" x14ac:dyDescent="0.5">
      <c r="B20" s="17" t="s">
        <v>32</v>
      </c>
      <c r="C20" s="18">
        <f>C10*C19</f>
        <v>3200000</v>
      </c>
      <c r="D20" s="4"/>
      <c r="E20" s="26" t="s">
        <v>14</v>
      </c>
      <c r="F20" s="31" t="s">
        <v>24</v>
      </c>
      <c r="G20" s="30">
        <f>G18-G19</f>
        <v>2300000</v>
      </c>
      <c r="H20" s="30">
        <f>H18-H19</f>
        <v>2644999.9999999995</v>
      </c>
      <c r="I20" s="30">
        <f>I18-I19</f>
        <v>3041749.9999999991</v>
      </c>
      <c r="J20" s="30">
        <f>J18-J19</f>
        <v>3498012.4999999981</v>
      </c>
      <c r="K20" s="30">
        <f>K18-K19</f>
        <v>4022714.3749999986</v>
      </c>
    </row>
    <row r="21" spans="1:14" x14ac:dyDescent="0.5">
      <c r="B21" s="17" t="s">
        <v>33</v>
      </c>
      <c r="C21" s="18">
        <f>C19-C20</f>
        <v>9600000</v>
      </c>
      <c r="D21" s="4"/>
      <c r="E21" s="26" t="s">
        <v>19</v>
      </c>
      <c r="F21" s="31">
        <f>0</f>
        <v>0</v>
      </c>
      <c r="G21" s="32">
        <f>G4</f>
        <v>384000</v>
      </c>
      <c r="H21" s="32">
        <f>H4</f>
        <v>269664</v>
      </c>
      <c r="I21" s="32">
        <f>I4</f>
        <v>121671.74400000002</v>
      </c>
      <c r="J21" s="32">
        <f>J4</f>
        <v>0</v>
      </c>
      <c r="K21" s="32">
        <f>K4</f>
        <v>0</v>
      </c>
    </row>
    <row r="22" spans="1:14" x14ac:dyDescent="0.5">
      <c r="E22" s="26" t="s">
        <v>15</v>
      </c>
      <c r="F22" s="31" t="s">
        <v>24</v>
      </c>
      <c r="G22" s="32">
        <f>G20-G21</f>
        <v>1916000</v>
      </c>
      <c r="H22" s="32">
        <f t="shared" ref="H22:K22" si="8">H20-H21</f>
        <v>2375335.9999999995</v>
      </c>
      <c r="I22" s="32">
        <f t="shared" si="8"/>
        <v>2920078.2559999991</v>
      </c>
      <c r="J22" s="32">
        <f t="shared" si="8"/>
        <v>3498012.4999999981</v>
      </c>
      <c r="K22" s="32">
        <f t="shared" si="8"/>
        <v>4022714.3749999986</v>
      </c>
    </row>
    <row r="23" spans="1:14" s="1" customFormat="1" ht="17" x14ac:dyDescent="0.5">
      <c r="E23" s="26" t="s">
        <v>28</v>
      </c>
      <c r="F23" s="31" t="s">
        <v>24</v>
      </c>
      <c r="G23" s="32">
        <f>MAX(0, $C$8)*G22</f>
        <v>383200</v>
      </c>
      <c r="H23" s="32">
        <f t="shared" ref="H23:K23" si="9">MAX(0, $C$8)*H22</f>
        <v>475067.19999999995</v>
      </c>
      <c r="I23" s="32">
        <f t="shared" si="9"/>
        <v>584015.65119999985</v>
      </c>
      <c r="J23" s="32">
        <f t="shared" si="9"/>
        <v>699602.49999999965</v>
      </c>
      <c r="K23" s="32">
        <f t="shared" si="9"/>
        <v>804542.87499999977</v>
      </c>
      <c r="L23" s="2"/>
      <c r="M23" s="2"/>
      <c r="N23" s="2"/>
    </row>
    <row r="24" spans="1:14" x14ac:dyDescent="0.5">
      <c r="E24" s="24" t="s">
        <v>16</v>
      </c>
      <c r="F24" s="33" t="s">
        <v>24</v>
      </c>
      <c r="G24" s="34">
        <f>G22-G23</f>
        <v>1532800</v>
      </c>
      <c r="H24" s="34">
        <f t="shared" ref="H24:K24" si="10">H22-H23</f>
        <v>1900268.7999999996</v>
      </c>
      <c r="I24" s="34">
        <f t="shared" si="10"/>
        <v>2336062.6047999994</v>
      </c>
      <c r="J24" s="34">
        <f t="shared" si="10"/>
        <v>2798409.9999999986</v>
      </c>
      <c r="K24" s="34">
        <f t="shared" si="10"/>
        <v>3218171.4999999991</v>
      </c>
    </row>
    <row r="25" spans="1:14" ht="17" x14ac:dyDescent="0.5">
      <c r="B25" s="50" t="s">
        <v>40</v>
      </c>
      <c r="C25" s="51"/>
    </row>
    <row r="26" spans="1:14" ht="17" x14ac:dyDescent="0.5">
      <c r="B26" s="52"/>
      <c r="C26" s="52"/>
      <c r="E26" s="35" t="s">
        <v>51</v>
      </c>
      <c r="F26" s="36"/>
      <c r="G26" s="36"/>
      <c r="H26" s="36"/>
      <c r="I26" s="36"/>
      <c r="J26" s="36"/>
      <c r="K26" s="36"/>
    </row>
    <row r="27" spans="1:14" x14ac:dyDescent="0.5">
      <c r="B27" s="53" t="s">
        <v>35</v>
      </c>
      <c r="C27" s="57">
        <f>K18</f>
        <v>5631800.1249999981</v>
      </c>
      <c r="E27" s="37"/>
      <c r="F27" s="37"/>
      <c r="G27" s="37"/>
      <c r="H27" s="37"/>
      <c r="I27" s="37"/>
      <c r="J27" s="37"/>
      <c r="K27" s="37"/>
    </row>
    <row r="28" spans="1:14" ht="17" thickBot="1" x14ac:dyDescent="0.55000000000000004">
      <c r="B28" s="53" t="s">
        <v>36</v>
      </c>
      <c r="C28" s="57">
        <f>C27*C9</f>
        <v>22527200.499999993</v>
      </c>
      <c r="E28" s="38" t="s">
        <v>52</v>
      </c>
      <c r="F28" s="39" t="s">
        <v>54</v>
      </c>
      <c r="G28" s="39">
        <v>2026</v>
      </c>
      <c r="H28" s="39">
        <f t="shared" ref="H28:K29" si="11">G28+1</f>
        <v>2027</v>
      </c>
      <c r="I28" s="39">
        <f t="shared" si="11"/>
        <v>2028</v>
      </c>
      <c r="J28" s="39">
        <f t="shared" si="11"/>
        <v>2029</v>
      </c>
      <c r="K28" s="39">
        <f t="shared" si="11"/>
        <v>2030</v>
      </c>
    </row>
    <row r="29" spans="1:14" x14ac:dyDescent="0.5">
      <c r="B29" s="53" t="s">
        <v>37</v>
      </c>
      <c r="C29" s="57">
        <f>C20</f>
        <v>3200000</v>
      </c>
      <c r="E29" s="40"/>
      <c r="F29" s="41">
        <v>0</v>
      </c>
      <c r="G29" s="41">
        <f>F29+1</f>
        <v>1</v>
      </c>
      <c r="H29" s="41">
        <f t="shared" si="11"/>
        <v>2</v>
      </c>
      <c r="I29" s="41">
        <f t="shared" si="11"/>
        <v>3</v>
      </c>
      <c r="J29" s="41">
        <f t="shared" si="11"/>
        <v>4</v>
      </c>
      <c r="K29" s="41">
        <f t="shared" si="11"/>
        <v>5</v>
      </c>
    </row>
    <row r="30" spans="1:14" x14ac:dyDescent="0.5">
      <c r="B30" s="53" t="s">
        <v>50</v>
      </c>
      <c r="C30" s="57">
        <f>K9</f>
        <v>4675131.7797999978</v>
      </c>
      <c r="E30" s="42" t="s">
        <v>12</v>
      </c>
      <c r="F30" s="43">
        <f t="shared" ref="F30:K30" si="12">F18</f>
        <v>3200000</v>
      </c>
      <c r="G30" s="44">
        <f>G18</f>
        <v>3220000</v>
      </c>
      <c r="H30" s="44">
        <f t="shared" si="12"/>
        <v>3702999.9999999995</v>
      </c>
      <c r="I30" s="44">
        <f t="shared" si="12"/>
        <v>4258449.9999999991</v>
      </c>
      <c r="J30" s="44">
        <f t="shared" si="12"/>
        <v>4897217.4999999981</v>
      </c>
      <c r="K30" s="44">
        <f t="shared" si="12"/>
        <v>5631800.1249999981</v>
      </c>
    </row>
    <row r="31" spans="1:14" x14ac:dyDescent="0.5">
      <c r="B31" s="53" t="s">
        <v>38</v>
      </c>
      <c r="C31" s="57">
        <f>C28-C29+C30</f>
        <v>24002332.27979999</v>
      </c>
      <c r="E31" s="42" t="s">
        <v>19</v>
      </c>
      <c r="F31" s="45">
        <f>0</f>
        <v>0</v>
      </c>
      <c r="G31" s="46">
        <f>G21</f>
        <v>384000</v>
      </c>
      <c r="H31" s="46">
        <f t="shared" ref="H31:K31" si="13">H21</f>
        <v>269664</v>
      </c>
      <c r="I31" s="46">
        <f t="shared" si="13"/>
        <v>121671.74400000002</v>
      </c>
      <c r="J31" s="46">
        <f t="shared" si="13"/>
        <v>0</v>
      </c>
      <c r="K31" s="46">
        <f t="shared" si="13"/>
        <v>0</v>
      </c>
    </row>
    <row r="32" spans="1:14" x14ac:dyDescent="0.5">
      <c r="B32" s="52"/>
      <c r="C32" s="52"/>
      <c r="E32" s="42" t="s">
        <v>47</v>
      </c>
      <c r="F32" s="47" t="s">
        <v>24</v>
      </c>
      <c r="G32" s="46">
        <f>G23</f>
        <v>383200</v>
      </c>
      <c r="H32" s="46">
        <f>H23</f>
        <v>475067.19999999995</v>
      </c>
      <c r="I32" s="46">
        <f>I23</f>
        <v>584015.65119999985</v>
      </c>
      <c r="J32" s="46">
        <f>J23</f>
        <v>699602.49999999965</v>
      </c>
      <c r="K32" s="46">
        <f>K23</f>
        <v>804542.87499999977</v>
      </c>
    </row>
    <row r="33" spans="2:14" ht="17" x14ac:dyDescent="0.5">
      <c r="B33" s="50" t="s">
        <v>18</v>
      </c>
      <c r="C33" s="51"/>
      <c r="E33" s="42" t="s">
        <v>17</v>
      </c>
      <c r="F33" s="47" t="s">
        <v>24</v>
      </c>
      <c r="G33" s="46">
        <f>$C$12*G17</f>
        <v>1380000</v>
      </c>
      <c r="H33" s="46">
        <f>$C$12*H17</f>
        <v>1587000</v>
      </c>
      <c r="I33" s="46">
        <f>$C$12*I17</f>
        <v>1825049.9999999998</v>
      </c>
      <c r="J33" s="46">
        <f>$C$12*J17</f>
        <v>2098807.4999999995</v>
      </c>
      <c r="K33" s="46">
        <f>$C$12*K17</f>
        <v>2413628.6249999991</v>
      </c>
    </row>
    <row r="34" spans="2:14" x14ac:dyDescent="0.5">
      <c r="B34" s="52"/>
      <c r="C34" s="52"/>
      <c r="E34" s="42" t="s">
        <v>48</v>
      </c>
      <c r="F34" s="47" t="s">
        <v>24</v>
      </c>
      <c r="G34" s="46">
        <f>(G17*$C$13)-(F17*$C$13)</f>
        <v>120000</v>
      </c>
      <c r="H34" s="46">
        <f t="shared" ref="H34:J34" si="14">(H17*$C$13)-(G17*$C$13)</f>
        <v>138000</v>
      </c>
      <c r="I34" s="46">
        <f t="shared" si="14"/>
        <v>158699.99999999977</v>
      </c>
      <c r="J34" s="46">
        <f t="shared" si="14"/>
        <v>182505</v>
      </c>
      <c r="K34" s="46">
        <f>(K17*$C$13)-(J17*$C$13)</f>
        <v>209880.74999999977</v>
      </c>
    </row>
    <row r="35" spans="2:14" x14ac:dyDescent="0.5">
      <c r="B35" s="54" t="s">
        <v>20</v>
      </c>
      <c r="C35" s="58">
        <f>C31/C21</f>
        <v>2.5002429458124991</v>
      </c>
      <c r="D35" s="6"/>
      <c r="E35" s="42" t="s">
        <v>22</v>
      </c>
      <c r="F35" s="47" t="s">
        <v>24</v>
      </c>
      <c r="G35" s="46">
        <f>G30-G31-G32-G33-G34</f>
        <v>952800</v>
      </c>
      <c r="H35" s="46">
        <f t="shared" ref="H35:K35" si="15">H30-H31-H32-H33-H34</f>
        <v>1233268.7999999998</v>
      </c>
      <c r="I35" s="46">
        <f t="shared" si="15"/>
        <v>1569012.6047999999</v>
      </c>
      <c r="J35" s="46">
        <f t="shared" si="15"/>
        <v>1916302.4999999986</v>
      </c>
      <c r="K35" s="46">
        <f t="shared" si="15"/>
        <v>2203747.8749999991</v>
      </c>
    </row>
    <row r="36" spans="2:14" s="1" customFormat="1" ht="17" x14ac:dyDescent="0.5">
      <c r="B36" s="54" t="s">
        <v>21</v>
      </c>
      <c r="C36" s="55">
        <f>POWER(C35,1/K16)-1</f>
        <v>0.20114777772616854</v>
      </c>
      <c r="E36" s="40"/>
      <c r="F36" s="48"/>
      <c r="G36" s="49"/>
      <c r="H36" s="49"/>
      <c r="I36" s="49"/>
      <c r="J36" s="49"/>
      <c r="K36" s="49"/>
      <c r="L36" s="2"/>
      <c r="M36" s="2"/>
      <c r="N36" s="2"/>
    </row>
    <row r="37" spans="2:14" ht="32.5" x14ac:dyDescent="0.5">
      <c r="B37" s="56" t="s">
        <v>25</v>
      </c>
      <c r="C37" s="55">
        <f>(72/5)%</f>
        <v>0.14400000000000002</v>
      </c>
    </row>
    <row r="38" spans="2:14" ht="32.5" x14ac:dyDescent="0.5">
      <c r="B38" s="56" t="s">
        <v>26</v>
      </c>
      <c r="C38" s="55">
        <f>(114/5)%</f>
        <v>0.22800000000000001</v>
      </c>
    </row>
    <row r="39" spans="2:14" ht="32.5" x14ac:dyDescent="0.5">
      <c r="B39" s="56" t="s">
        <v>27</v>
      </c>
      <c r="C39" s="55">
        <f>(144/5)%</f>
        <v>0.28800000000000003</v>
      </c>
    </row>
    <row r="42" spans="2:14" x14ac:dyDescent="0.5">
      <c r="B42" s="53"/>
    </row>
    <row r="49" spans="4:14" s="1" customFormat="1" ht="17" x14ac:dyDescent="0.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7" spans="4:14" s="1" customFormat="1" ht="17" x14ac:dyDescent="0.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Operational_LBO_Model (2)</vt:lpstr>
      <vt:lpstr>Operational_LBO_Model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Office</cp:lastModifiedBy>
  <dcterms:created xsi:type="dcterms:W3CDTF">2023-08-23T07:55:43Z</dcterms:created>
  <dcterms:modified xsi:type="dcterms:W3CDTF">2025-08-19T08:03:12Z</dcterms:modified>
</cp:coreProperties>
</file>