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F:\06_MY TEACHING RESOURCES\MBA-FINANCIAL MODELLING\FME_Topic_02_Financial Statement Forecasting\3- statement model\"/>
    </mc:Choice>
  </mc:AlternateContent>
  <xr:revisionPtr revIDLastSave="0" documentId="13_ncr:1_{9BE77C7F-7702-4170-BCE2-C31F0AC115B0}" xr6:coauthVersionLast="47" xr6:coauthVersionMax="47" xr10:uidLastSave="{00000000-0000-0000-0000-000000000000}"/>
  <bookViews>
    <workbookView xWindow="-110" yWindow="-110" windowWidth="19420" windowHeight="10300" xr2:uid="{9CED4D2A-7BDF-4B32-A690-8338647BC82A}"/>
  </bookViews>
  <sheets>
    <sheet name="INPUT" sheetId="2" r:id="rId1"/>
    <sheet name="IS" sheetId="1" r:id="rId2"/>
    <sheet name="BS" sheetId="3" r:id="rId3"/>
    <sheet name="WC" sheetId="10" r:id="rId4"/>
    <sheet name="Debt" sheetId="7" r:id="rId5"/>
    <sheet name="PPE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8" i="7" l="1" a="1"/>
  <c r="B8" i="7" s="1"/>
  <c r="N8" i="7" s="1"/>
  <c r="B5" i="7" a="1"/>
  <c r="B5" i="7" s="1"/>
  <c r="L5" i="7" s="1"/>
  <c r="L6" i="7" s="1"/>
  <c r="B10" i="10" a="1"/>
  <c r="B10" i="10" s="1"/>
  <c r="B15" i="10" a="1"/>
  <c r="B15" i="10" s="1"/>
  <c r="B5" i="10" a="1"/>
  <c r="B5" i="10" s="1"/>
  <c r="B8" i="10" a="1"/>
  <c r="B8" i="10" s="1"/>
  <c r="B9" i="10" a="1"/>
  <c r="B9" i="10" s="1"/>
  <c r="B14" i="10" a="1"/>
  <c r="B14" i="10" s="1"/>
  <c r="B4" i="10" a="1"/>
  <c r="B4" i="10" s="1"/>
  <c r="B5" i="1" a="1"/>
  <c r="B5" i="1" s="1"/>
  <c r="B5" i="3" a="1"/>
  <c r="C5" i="3" s="1"/>
  <c r="M9" i="10"/>
  <c r="M17" i="10"/>
  <c r="M19" i="3"/>
  <c r="M29" i="3"/>
  <c r="M15" i="10"/>
  <c r="M14" i="10"/>
  <c r="M5" i="10"/>
  <c r="M11" i="3"/>
  <c r="M14" i="3"/>
  <c r="M27" i="3"/>
  <c r="M30" i="3"/>
  <c r="M28" i="3"/>
  <c r="M15" i="3"/>
  <c r="M5" i="3"/>
  <c r="M26" i="3"/>
  <c r="M13" i="3"/>
  <c r="M13" i="10"/>
  <c r="M23" i="3"/>
  <c r="M10" i="10"/>
  <c r="M24" i="3"/>
  <c r="M8" i="3"/>
  <c r="M6" i="3"/>
  <c r="M9" i="3"/>
  <c r="M26" i="10"/>
  <c r="M25" i="3"/>
  <c r="M22" i="3"/>
  <c r="M20" i="10"/>
  <c r="M22" i="10"/>
  <c r="M12" i="10"/>
  <c r="M8" i="10"/>
  <c r="M10" i="3"/>
  <c r="M12" i="3"/>
  <c r="M21" i="10"/>
  <c r="M24" i="10"/>
  <c r="M18" i="10"/>
  <c r="M6" i="10"/>
  <c r="M7" i="3"/>
  <c r="M19" i="10"/>
  <c r="M25" i="10"/>
  <c r="M23" i="10"/>
  <c r="M17" i="3"/>
  <c r="M21" i="3"/>
  <c r="M4" i="10"/>
  <c r="M7" i="10"/>
  <c r="M11" i="10"/>
  <c r="M16" i="10"/>
  <c r="M16" i="3"/>
  <c r="M18" i="3"/>
  <c r="M20" i="3"/>
  <c r="B11" i="10" l="1"/>
  <c r="B16" i="10"/>
  <c r="B18" i="10" s="1"/>
  <c r="H12" i="7"/>
  <c r="B25" i="10"/>
  <c r="D12" i="7"/>
  <c r="J25" i="10"/>
  <c r="G11" i="10"/>
  <c r="C11" i="10"/>
  <c r="F16" i="10"/>
  <c r="L10" i="10"/>
  <c r="I25" i="10"/>
  <c r="E25" i="10"/>
  <c r="J11" i="10"/>
  <c r="F11" i="10"/>
  <c r="I16" i="10"/>
  <c r="E16" i="10"/>
  <c r="K12" i="7"/>
  <c r="G12" i="7"/>
  <c r="B12" i="7"/>
  <c r="K11" i="10"/>
  <c r="J16" i="10"/>
  <c r="C25" i="10"/>
  <c r="H25" i="10"/>
  <c r="D25" i="10"/>
  <c r="I11" i="10"/>
  <c r="E11" i="10"/>
  <c r="H16" i="10"/>
  <c r="D16" i="10"/>
  <c r="J12" i="7"/>
  <c r="K13" i="7" s="1"/>
  <c r="F12" i="7"/>
  <c r="G13" i="7" s="1"/>
  <c r="F25" i="10"/>
  <c r="B26" i="10"/>
  <c r="K25" i="10"/>
  <c r="G25" i="10"/>
  <c r="H11" i="10"/>
  <c r="D11" i="10"/>
  <c r="D18" i="10" s="1"/>
  <c r="K16" i="10"/>
  <c r="G16" i="10"/>
  <c r="C16" i="10"/>
  <c r="C12" i="7"/>
  <c r="I12" i="7"/>
  <c r="E12" i="7"/>
  <c r="F13" i="7" s="1"/>
  <c r="C6" i="7"/>
  <c r="E6" i="7"/>
  <c r="G9" i="7"/>
  <c r="H6" i="7"/>
  <c r="D6" i="7"/>
  <c r="J9" i="7"/>
  <c r="F9" i="7"/>
  <c r="I6" i="7"/>
  <c r="K9" i="7"/>
  <c r="K6" i="7"/>
  <c r="G6" i="7"/>
  <c r="C9" i="7"/>
  <c r="I9" i="7"/>
  <c r="E9" i="7"/>
  <c r="L8" i="7"/>
  <c r="J6" i="7"/>
  <c r="F6" i="7"/>
  <c r="H9" i="7"/>
  <c r="D9" i="7"/>
  <c r="J26" i="10"/>
  <c r="F26" i="10"/>
  <c r="E26" i="10"/>
  <c r="H26" i="10"/>
  <c r="D26" i="10"/>
  <c r="I26" i="10"/>
  <c r="C26" i="10"/>
  <c r="G26" i="10"/>
  <c r="K26" i="10"/>
  <c r="B22" i="10"/>
  <c r="B23" i="10"/>
  <c r="G23" i="10"/>
  <c r="K23" i="10"/>
  <c r="B21" i="10"/>
  <c r="C23" i="10"/>
  <c r="K21" i="10"/>
  <c r="C21" i="10"/>
  <c r="F22" i="10"/>
  <c r="J21" i="10"/>
  <c r="F21" i="10"/>
  <c r="I22" i="10"/>
  <c r="E22" i="10"/>
  <c r="J23" i="10"/>
  <c r="F23" i="10"/>
  <c r="I21" i="10"/>
  <c r="E21" i="10"/>
  <c r="H22" i="10"/>
  <c r="D22" i="10"/>
  <c r="I23" i="10"/>
  <c r="E23" i="10"/>
  <c r="G21" i="10"/>
  <c r="J22" i="10"/>
  <c r="H21" i="10"/>
  <c r="D21" i="10"/>
  <c r="K22" i="10"/>
  <c r="G22" i="10"/>
  <c r="C22" i="10"/>
  <c r="H23" i="10"/>
  <c r="D23" i="10"/>
  <c r="J5" i="3"/>
  <c r="F5" i="3"/>
  <c r="B5" i="3"/>
  <c r="I5" i="3"/>
  <c r="E5" i="3"/>
  <c r="H5" i="3"/>
  <c r="D5" i="3"/>
  <c r="K5" i="3"/>
  <c r="G5" i="3"/>
  <c r="B28" i="3" a="1"/>
  <c r="B28" i="3" s="1"/>
  <c r="L26" i="1"/>
  <c r="B23" i="3" a="1"/>
  <c r="B23" i="3" s="1"/>
  <c r="B27" i="3" a="1"/>
  <c r="B27" i="3" s="1"/>
  <c r="B18" i="3" a="1"/>
  <c r="B18" i="3" s="1"/>
  <c r="B19" i="3" a="1"/>
  <c r="B20" i="3" a="1"/>
  <c r="B20" i="3" s="1"/>
  <c r="B22" i="3" a="1"/>
  <c r="B22" i="3" s="1"/>
  <c r="B17" i="3" a="1"/>
  <c r="B17" i="3" s="1"/>
  <c r="C102" i="2"/>
  <c r="D102" i="2"/>
  <c r="E102" i="2"/>
  <c r="F102" i="2"/>
  <c r="G102" i="2"/>
  <c r="H102" i="2"/>
  <c r="I102" i="2"/>
  <c r="J102" i="2"/>
  <c r="K102" i="2"/>
  <c r="B102" i="2"/>
  <c r="B12" i="3" a="1"/>
  <c r="B12" i="3" s="1"/>
  <c r="B11" i="3" a="1"/>
  <c r="B11" i="3" s="1"/>
  <c r="B10" i="3" a="1"/>
  <c r="B10" i="3" s="1"/>
  <c r="B8" i="3" a="1"/>
  <c r="B8" i="3" s="1"/>
  <c r="B6" i="3" a="1"/>
  <c r="B6" i="3" s="1"/>
  <c r="B7" i="3" a="1"/>
  <c r="B7" i="3" s="1"/>
  <c r="B14" i="7" a="1"/>
  <c r="B14" i="7" s="1"/>
  <c r="C10" i="6" a="1"/>
  <c r="C10" i="6" s="1"/>
  <c r="C8" i="6" a="1"/>
  <c r="C8" i="6" s="1"/>
  <c r="C6" i="6"/>
  <c r="C5" i="6" a="1"/>
  <c r="C5" i="6" s="1"/>
  <c r="D6" i="6" s="1"/>
  <c r="B11" i="1" a="1"/>
  <c r="B11" i="1" s="1"/>
  <c r="B6" i="1" a="1"/>
  <c r="B6" i="1" s="1"/>
  <c r="B9" i="1" a="1"/>
  <c r="B9" i="1" s="1"/>
  <c r="B13" i="1" a="1"/>
  <c r="B13" i="1" s="1"/>
  <c r="B14" i="1" a="1"/>
  <c r="B14" i="1" s="1"/>
  <c r="N14" i="1" s="1"/>
  <c r="B16" i="1" a="1"/>
  <c r="B16" i="1" s="1"/>
  <c r="L5" i="1"/>
  <c r="L4" i="10" s="1"/>
  <c r="M5" i="1"/>
  <c r="M16" i="1"/>
  <c r="M17" i="1"/>
  <c r="M12" i="1"/>
  <c r="M10" i="1"/>
  <c r="M9" i="1"/>
  <c r="M13" i="1"/>
  <c r="M18" i="1"/>
  <c r="M15" i="1"/>
  <c r="M6" i="1"/>
  <c r="M19" i="1"/>
  <c r="M11" i="1"/>
  <c r="M7" i="1"/>
  <c r="M8" i="1"/>
  <c r="M14" i="1"/>
  <c r="H13" i="7" l="1"/>
  <c r="L5" i="3"/>
  <c r="E18" i="10"/>
  <c r="E19" i="10" s="1"/>
  <c r="D13" i="7"/>
  <c r="C13" i="7"/>
  <c r="J13" i="7"/>
  <c r="F18" i="10"/>
  <c r="F19" i="10" s="1"/>
  <c r="L15" i="10"/>
  <c r="G18" i="10"/>
  <c r="B19" i="3"/>
  <c r="B21" i="3" s="1"/>
  <c r="L19" i="3"/>
  <c r="I18" i="10"/>
  <c r="J18" i="10"/>
  <c r="E13" i="7"/>
  <c r="L9" i="7"/>
  <c r="L22" i="3"/>
  <c r="L12" i="7"/>
  <c r="L13" i="7" s="1"/>
  <c r="H18" i="10"/>
  <c r="K18" i="10"/>
  <c r="C18" i="10"/>
  <c r="C19" i="10" s="1"/>
  <c r="I13" i="7"/>
  <c r="L8" i="10"/>
  <c r="B24" i="3" a="1"/>
  <c r="B24" i="3" s="1"/>
  <c r="B25" i="3" s="1"/>
  <c r="L6" i="1" a="1"/>
  <c r="L6" i="1" s="1"/>
  <c r="L23" i="3"/>
  <c r="L12" i="3"/>
  <c r="L20" i="3"/>
  <c r="L11" i="3"/>
  <c r="L8" i="3"/>
  <c r="L27" i="3"/>
  <c r="B29" i="3"/>
  <c r="K21" i="3"/>
  <c r="C21" i="3"/>
  <c r="G29" i="3"/>
  <c r="F21" i="3"/>
  <c r="J29" i="3"/>
  <c r="F29" i="3"/>
  <c r="I21" i="3"/>
  <c r="E21" i="3"/>
  <c r="I29" i="3"/>
  <c r="E29" i="3"/>
  <c r="G21" i="3"/>
  <c r="K29" i="3"/>
  <c r="C29" i="3"/>
  <c r="J21" i="3"/>
  <c r="H21" i="3"/>
  <c r="D21" i="3"/>
  <c r="H29" i="3"/>
  <c r="D29" i="3"/>
  <c r="B13" i="3"/>
  <c r="B9" i="3"/>
  <c r="H13" i="3"/>
  <c r="D13" i="3"/>
  <c r="K9" i="3"/>
  <c r="C9" i="3"/>
  <c r="J9" i="3"/>
  <c r="F9" i="3"/>
  <c r="K13" i="3"/>
  <c r="G13" i="3"/>
  <c r="C13" i="3"/>
  <c r="I9" i="3"/>
  <c r="E9" i="3"/>
  <c r="J13" i="3"/>
  <c r="F13" i="3"/>
  <c r="G9" i="3"/>
  <c r="H9" i="3"/>
  <c r="D9" i="3"/>
  <c r="I13" i="3"/>
  <c r="E13" i="3"/>
  <c r="L14" i="1"/>
  <c r="L9" i="1" a="1"/>
  <c r="L9" i="1" s="1"/>
  <c r="B7" i="1"/>
  <c r="H7" i="1"/>
  <c r="D7" i="1"/>
  <c r="K7" i="1"/>
  <c r="G7" i="1"/>
  <c r="C7" i="1"/>
  <c r="D12" i="6"/>
  <c r="I12" i="6"/>
  <c r="E12" i="6"/>
  <c r="J7" i="1"/>
  <c r="F7" i="1"/>
  <c r="L12" i="6"/>
  <c r="H12" i="6"/>
  <c r="I7" i="1"/>
  <c r="E7" i="1"/>
  <c r="K12" i="6"/>
  <c r="G12" i="6"/>
  <c r="J12" i="6"/>
  <c r="F12" i="6"/>
  <c r="K6" i="6"/>
  <c r="K7" i="6" s="1"/>
  <c r="K9" i="6" s="1"/>
  <c r="K11" i="6" s="1"/>
  <c r="G6" i="6"/>
  <c r="G7" i="6" s="1"/>
  <c r="G9" i="6" s="1"/>
  <c r="G11" i="6" s="1"/>
  <c r="I6" i="6"/>
  <c r="I7" i="6" s="1"/>
  <c r="I9" i="6" s="1"/>
  <c r="I11" i="6" s="1"/>
  <c r="E6" i="6"/>
  <c r="E7" i="6" s="1"/>
  <c r="E9" i="6" s="1"/>
  <c r="E11" i="6" s="1"/>
  <c r="L6" i="6"/>
  <c r="L7" i="6" s="1"/>
  <c r="L9" i="6" s="1"/>
  <c r="L11" i="6" s="1"/>
  <c r="H6" i="6"/>
  <c r="H7" i="6" s="1"/>
  <c r="H9" i="6" s="1"/>
  <c r="H11" i="6" s="1"/>
  <c r="D7" i="6"/>
  <c r="J6" i="6"/>
  <c r="J7" i="6" s="1"/>
  <c r="J9" i="6" s="1"/>
  <c r="J11" i="6" s="1"/>
  <c r="F6" i="6"/>
  <c r="F7" i="6" s="1"/>
  <c r="F9" i="6" s="1"/>
  <c r="F11" i="6" s="1"/>
  <c r="H19" i="10" l="1"/>
  <c r="I19" i="10"/>
  <c r="J19" i="10"/>
  <c r="D19" i="10"/>
  <c r="G19" i="10"/>
  <c r="L7" i="1"/>
  <c r="L5" i="10"/>
  <c r="K19" i="10"/>
  <c r="L6" i="3"/>
  <c r="C25" i="3"/>
  <c r="C26" i="3" s="1"/>
  <c r="C30" i="3" s="1"/>
  <c r="F25" i="3"/>
  <c r="F26" i="3" s="1"/>
  <c r="F30" i="3" s="1"/>
  <c r="D25" i="3"/>
  <c r="D26" i="3" s="1"/>
  <c r="D30" i="3" s="1"/>
  <c r="G25" i="3"/>
  <c r="G26" i="3" s="1"/>
  <c r="G30" i="3" s="1"/>
  <c r="L24" i="3"/>
  <c r="E25" i="3"/>
  <c r="E26" i="3" s="1"/>
  <c r="E30" i="3" s="1"/>
  <c r="I25" i="3"/>
  <c r="I26" i="3" s="1"/>
  <c r="I30" i="3" s="1"/>
  <c r="B26" i="3"/>
  <c r="B30" i="3" s="1"/>
  <c r="J25" i="3"/>
  <c r="J26" i="3" s="1"/>
  <c r="J30" i="3" s="1"/>
  <c r="K25" i="3"/>
  <c r="K26" i="3" s="1"/>
  <c r="K30" i="3" s="1"/>
  <c r="H25" i="3"/>
  <c r="H26" i="3" s="1"/>
  <c r="H30" i="3" s="1"/>
  <c r="B14" i="3"/>
  <c r="D9" i="6"/>
  <c r="D11" i="6" s="1"/>
  <c r="M11" i="6" s="1"/>
  <c r="M9" i="6" s="1"/>
  <c r="I14" i="3"/>
  <c r="H14" i="3"/>
  <c r="G14" i="3"/>
  <c r="F14" i="3"/>
  <c r="J14" i="3"/>
  <c r="D14" i="3"/>
  <c r="C14" i="3"/>
  <c r="E14" i="3"/>
  <c r="K14" i="3"/>
  <c r="D15" i="7"/>
  <c r="E15" i="7"/>
  <c r="B8" i="1" a="1"/>
  <c r="B8" i="1" s="1"/>
  <c r="L8" i="1" s="1" a="1"/>
  <c r="L8" i="1" s="1"/>
  <c r="L10" i="1" s="1"/>
  <c r="M12" i="6"/>
  <c r="L14" i="10" l="1"/>
  <c r="L9" i="10"/>
  <c r="L18" i="3"/>
  <c r="L25" i="3"/>
  <c r="K15" i="7"/>
  <c r="L15" i="7" s="1"/>
  <c r="L14" i="7" s="1"/>
  <c r="B33" i="3"/>
  <c r="E33" i="3"/>
  <c r="M5" i="6"/>
  <c r="M8" i="6" s="1"/>
  <c r="L11" i="1" s="1"/>
  <c r="L10" i="3"/>
  <c r="L13" i="3" s="1"/>
  <c r="H33" i="3"/>
  <c r="J33" i="3"/>
  <c r="K33" i="3"/>
  <c r="I33" i="3"/>
  <c r="G33" i="3"/>
  <c r="C33" i="3"/>
  <c r="F33" i="3"/>
  <c r="D33" i="3"/>
  <c r="G15" i="7"/>
  <c r="H15" i="7"/>
  <c r="I15" i="7"/>
  <c r="J15" i="7"/>
  <c r="F15" i="7"/>
  <c r="C10" i="1"/>
  <c r="C12" i="1" s="1"/>
  <c r="C15" i="1" s="1"/>
  <c r="G10" i="1"/>
  <c r="G12" i="1" s="1"/>
  <c r="G15" i="1" s="1"/>
  <c r="H10" i="1"/>
  <c r="H12" i="1" s="1"/>
  <c r="H15" i="1" s="1"/>
  <c r="E10" i="1"/>
  <c r="E12" i="1" s="1"/>
  <c r="E15" i="1" s="1"/>
  <c r="J10" i="1"/>
  <c r="J12" i="1" s="1"/>
  <c r="J15" i="1" s="1"/>
  <c r="D10" i="1"/>
  <c r="D12" i="1" s="1"/>
  <c r="D15" i="1" s="1"/>
  <c r="K10" i="1"/>
  <c r="K12" i="1" s="1"/>
  <c r="K15" i="1" s="1"/>
  <c r="I10" i="1"/>
  <c r="I12" i="1" s="1"/>
  <c r="I15" i="1" s="1"/>
  <c r="F10" i="1"/>
  <c r="F12" i="1" s="1"/>
  <c r="F15" i="1" s="1"/>
  <c r="B10" i="1"/>
  <c r="B12" i="1" s="1"/>
  <c r="B15" i="1" s="1"/>
  <c r="L7" i="3" l="1"/>
  <c r="L9" i="3" s="1"/>
  <c r="L14" i="3" s="1"/>
  <c r="L11" i="10"/>
  <c r="L16" i="10"/>
  <c r="L17" i="3"/>
  <c r="L21" i="3" s="1"/>
  <c r="L26" i="3" s="1"/>
  <c r="L12" i="1"/>
  <c r="K17" i="1"/>
  <c r="K23" i="1"/>
  <c r="L23" i="1" s="1"/>
  <c r="H17" i="1"/>
  <c r="H23" i="1"/>
  <c r="B17" i="1"/>
  <c r="B23" i="1"/>
  <c r="D17" i="1"/>
  <c r="D23" i="1"/>
  <c r="G17" i="1"/>
  <c r="G23" i="1"/>
  <c r="I17" i="1"/>
  <c r="I23" i="1"/>
  <c r="E17" i="1"/>
  <c r="E23" i="1"/>
  <c r="C17" i="1"/>
  <c r="C23" i="1"/>
  <c r="F17" i="1"/>
  <c r="F23" i="1"/>
  <c r="J17" i="1"/>
  <c r="J23" i="1"/>
  <c r="L18" i="10" l="1"/>
  <c r="L19" i="10" s="1"/>
  <c r="L13" i="1"/>
  <c r="L15" i="1" s="1"/>
  <c r="E18" i="1"/>
  <c r="E19" i="1" s="1"/>
  <c r="K18" i="1"/>
  <c r="K19" i="1" s="1"/>
  <c r="F18" i="1"/>
  <c r="F19" i="1" s="1"/>
  <c r="G18" i="1"/>
  <c r="G19" i="1" s="1"/>
  <c r="B18" i="1"/>
  <c r="B19" i="1" s="1"/>
  <c r="J18" i="1"/>
  <c r="J19" i="1" s="1"/>
  <c r="C18" i="1"/>
  <c r="C19" i="1" s="1"/>
  <c r="I18" i="1"/>
  <c r="I19" i="1" s="1"/>
  <c r="D18" i="1"/>
  <c r="D19" i="1" s="1"/>
  <c r="H18" i="1"/>
  <c r="H19" i="1" s="1"/>
  <c r="L16" i="1" l="1"/>
  <c r="L17" i="1" l="1"/>
  <c r="L18" i="1" s="1"/>
  <c r="L28" i="3" l="1"/>
  <c r="L29" i="3" s="1"/>
  <c r="L30" i="3" s="1"/>
  <c r="L33" i="3" s="1"/>
  <c r="L19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tc={4AAA2D74-3D89-4C47-AB8D-D9EBA6A6D1C4}</author>
    <author>tc={28C850CE-7B3F-489C-AAF2-5ABD65D1A5D1}</author>
  </authors>
  <commentList>
    <comment ref="A98" authorId="0" shapeId="0" xr:uid="{4AAA2D74-3D89-4C47-AB8D-D9EBA6A6D1C4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These items which are in pink colour as taken as residual values from their respective category 
</t>
      </text>
    </comment>
    <comment ref="A106" authorId="1" shapeId="0" xr:uid="{28C850CE-7B3F-489C-AAF2-5ABD65D1A5D1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It is derived as the difference between closing and opening cash balance ( opening C&amp;CE - closing C&amp;CE)
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tc={70B5111A-45DB-46B1-A4AC-23E483FAB5E4}</author>
  </authors>
  <commentList>
    <comment ref="A15" authorId="0" shapeId="0" xr:uid="{70B5111A-45DB-46B1-A4AC-23E483FAB5E4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These items which are in pink colour as taken as residual values from their respective category 
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<sst xmlns="http://schemas.openxmlformats.org/spreadsheetml/2006/main" count="164" uniqueCount="117">
  <si>
    <t xml:space="preserve">Dabur Indian Ltd. </t>
  </si>
  <si>
    <t>Particulars</t>
  </si>
  <si>
    <t>Cost of goods sold</t>
  </si>
  <si>
    <t>Cost of sales</t>
  </si>
  <si>
    <t>Total interest expenses</t>
  </si>
  <si>
    <t>Profit after tax</t>
  </si>
  <si>
    <t>Net property, plant and equipment</t>
  </si>
  <si>
    <t>Net intangible assets</t>
  </si>
  <si>
    <t>Non-current assets</t>
  </si>
  <si>
    <t>Short-term borrowings</t>
  </si>
  <si>
    <t>Current liabilities &amp; provisions</t>
  </si>
  <si>
    <t>Non-current liabilities</t>
  </si>
  <si>
    <t>Total liabilities</t>
  </si>
  <si>
    <t>Total assets</t>
  </si>
  <si>
    <t>Total dividend as % of PAT</t>
  </si>
  <si>
    <t>Dividend paid and proposed</t>
  </si>
  <si>
    <t>Line Item</t>
  </si>
  <si>
    <t>Revenue</t>
  </si>
  <si>
    <t>SG&amp;A Expenses</t>
  </si>
  <si>
    <t>R&amp;D Expenses</t>
  </si>
  <si>
    <t>Depreciation &amp; Amortization</t>
  </si>
  <si>
    <t>Interest Expense</t>
  </si>
  <si>
    <t>Other Income</t>
  </si>
  <si>
    <t>Corporate Tax</t>
  </si>
  <si>
    <t>Cost of Goods Sold</t>
  </si>
  <si>
    <t>Gross Profit</t>
  </si>
  <si>
    <t>EBITDA</t>
  </si>
  <si>
    <t>EBIT</t>
  </si>
  <si>
    <t>EBT</t>
  </si>
  <si>
    <t>Net Income</t>
  </si>
  <si>
    <t xml:space="preserve">Balance Sheet Forecasting for 2025 </t>
  </si>
  <si>
    <t>Assets</t>
  </si>
  <si>
    <t>Other Current Assets</t>
  </si>
  <si>
    <t>Total Current Assets</t>
  </si>
  <si>
    <t>Other Non-Current Assets</t>
  </si>
  <si>
    <t>Total Non-Current Assets</t>
  </si>
  <si>
    <t>Total Assets</t>
  </si>
  <si>
    <t>Liabilities &amp; Equity</t>
  </si>
  <si>
    <t>Other Current Liabilities</t>
  </si>
  <si>
    <t>Short-Term Borrowings</t>
  </si>
  <si>
    <t>Other Non-Current Liabilities</t>
  </si>
  <si>
    <t>Total Non-Current Liabilities</t>
  </si>
  <si>
    <t>Total Liabilities</t>
  </si>
  <si>
    <t>Share Capital</t>
  </si>
  <si>
    <t>Total Equity</t>
  </si>
  <si>
    <t>Total Liabilities + Equity</t>
  </si>
  <si>
    <t>Capex as % of Sales</t>
  </si>
  <si>
    <t>Depreciation as % of Net PP&amp;E</t>
  </si>
  <si>
    <t>PPE &amp; Depreciation Schedule (FY2015–FY2025F)</t>
  </si>
  <si>
    <t>Total Debt (ST + LT)</t>
  </si>
  <si>
    <t>Average Debt Balance</t>
  </si>
  <si>
    <t>Implied Interest Rate (%)</t>
  </si>
  <si>
    <t>Debt_Schedule (FY2015–FY2025F)</t>
  </si>
  <si>
    <t>Current year</t>
  </si>
  <si>
    <t>Previous year</t>
  </si>
  <si>
    <t>Change in PPE</t>
  </si>
  <si>
    <t>Capex</t>
  </si>
  <si>
    <t>repayment of short term liabilities</t>
  </si>
  <si>
    <t>repayment of long term liabilities</t>
  </si>
  <si>
    <t>Proceeds from long term borrowings</t>
  </si>
  <si>
    <t>Proceeds from short term borrowings</t>
  </si>
  <si>
    <t xml:space="preserve">Long term borrowings </t>
  </si>
  <si>
    <t>Effective Tax Rate</t>
  </si>
  <si>
    <t>Trade receivables &amp; bills receivable</t>
  </si>
  <si>
    <t>Inventories</t>
  </si>
  <si>
    <t>Total Current assets</t>
  </si>
  <si>
    <t>Trade payables and acceptances</t>
  </si>
  <si>
    <t>Provisions</t>
  </si>
  <si>
    <t>Total Current Liabilities&amp;Provisions</t>
  </si>
  <si>
    <t>Reserves&amp;Surplus</t>
  </si>
  <si>
    <t>Deferred tax liability</t>
  </si>
  <si>
    <t>balance sheet check</t>
  </si>
  <si>
    <t>Dividend</t>
  </si>
  <si>
    <t>Surplus</t>
  </si>
  <si>
    <t>direct taxes paid</t>
  </si>
  <si>
    <t>purchase of fixed assets</t>
  </si>
  <si>
    <t>sale of fixed assets</t>
  </si>
  <si>
    <t>purchase of investments</t>
  </si>
  <si>
    <t>sale/maturity proceeds of investments</t>
  </si>
  <si>
    <t>interest received</t>
  </si>
  <si>
    <t>Net cash flow from operating activities</t>
  </si>
  <si>
    <t>Net cash inflow or (outflow) from investing activities</t>
  </si>
  <si>
    <t>Net cash inflow or (outflow) from financing activities</t>
  </si>
  <si>
    <t>Net cash inflow or (outflow) due to net increase or (decrease) in cash and cash equivalents</t>
  </si>
  <si>
    <t>dividend paid</t>
  </si>
  <si>
    <t>dividend tax paid</t>
  </si>
  <si>
    <t>Other noncash/non operating Adjustments</t>
  </si>
  <si>
    <t xml:space="preserve">Others cash inflow/outflow relating to finacing activities </t>
  </si>
  <si>
    <t>Net working capital</t>
  </si>
  <si>
    <t xml:space="preserve">Cash inflow/outflow Other Investing Activities </t>
  </si>
  <si>
    <t>Cash and cash equivalents as at the beginning of the year</t>
  </si>
  <si>
    <t>Cash and cash equivalents as at the end of the year</t>
  </si>
  <si>
    <t xml:space="preserve">Dabur India Ltd </t>
  </si>
  <si>
    <t>FY2025F</t>
  </si>
  <si>
    <t>DSO</t>
  </si>
  <si>
    <t>DIO</t>
  </si>
  <si>
    <t>DPO</t>
  </si>
  <si>
    <t>=Avg_DSO / 365 * Forecast_sales 2025</t>
  </si>
  <si>
    <t>=Avg_DIO / 365 * Forecast_COGS2025</t>
  </si>
  <si>
    <t>=Avg_DPO / 365 * Forecast_COGS2025</t>
  </si>
  <si>
    <t xml:space="preserve">WORKING CAPITAL </t>
  </si>
  <si>
    <t xml:space="preserve">Change in working Capital </t>
  </si>
  <si>
    <t>Current Assets</t>
  </si>
  <si>
    <t>Current Liabilities</t>
  </si>
  <si>
    <t xml:space="preserve">Other current assets to sales </t>
  </si>
  <si>
    <t xml:space="preserve">Other current liabilities to sales </t>
  </si>
  <si>
    <t xml:space="preserve">=avg of sales method </t>
  </si>
  <si>
    <t xml:space="preserve">=historical average of these item </t>
  </si>
  <si>
    <t xml:space="preserve">Total Current Liabilties </t>
  </si>
  <si>
    <t xml:space="preserve">Change in Short term Borrowings </t>
  </si>
  <si>
    <t>LINEAR FORECAST</t>
  </si>
  <si>
    <t>change = current year - previous year</t>
  </si>
  <si>
    <t>Change in  Long term Borrowings</t>
  </si>
  <si>
    <t>working capital structure</t>
  </si>
  <si>
    <t>Discretionary Financing Need</t>
  </si>
  <si>
    <t>-- last four years average, 5th year is excluded due to negative balance</t>
  </si>
  <si>
    <t>Interest paid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</si>
</sst>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2"/>
      <color theme="1"/>
      <name val="Aptos"/>
      <family val="2"/>
    </font>
    <font>
      <sz val="12"/>
      <color theme="1"/>
      <name val="Aptos"/>
      <family val="2"/>
    </font>
    <font>
      <b/>
      <sz val="12"/>
      <color theme="1"/>
      <name val="Segoe UI Emoji"/>
      <family val="2"/>
    </font>
    <font>
      <sz val="12"/>
      <color theme="1"/>
      <name val="Segoe UI Emoji"/>
      <family val="2"/>
    </font>
    <font>
      <b/>
      <sz val="14"/>
      <color theme="1"/>
      <name val="Aptos"/>
      <family val="2"/>
    </font>
    <font>
      <sz val="11"/>
      <color theme="1"/>
      <name val="Aptos Narrow"/>
      <family val="2"/>
      <scheme val="minor"/>
    </font>
    <font>
      <b/>
      <sz val="11"/>
      <color theme="1"/>
      <name val="Aptos"/>
      <family val="2"/>
    </font>
    <font>
      <sz val="11"/>
      <color theme="1"/>
      <name val="Aptos"/>
      <family val="2"/>
    </font>
    <font>
      <sz val="11"/>
      <color theme="1"/>
      <name val="Segoe UI Emoji"/>
      <family val="2"/>
    </font>
    <font>
      <b/>
      <sz val="12"/>
      <color theme="1"/>
      <name val="Times New Roman"/>
      <family val="1"/>
    </font>
    <font>
      <sz val="12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sz val="14"/>
      <color theme="1"/>
      <name val="Aptos"/>
      <family val="2"/>
    </font>
  </fonts>
  <fills count="12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9" fontId="7" fillId="0" borderId="0" applyFont="0" applyFill="0" applyBorder="0" applyAlignment="0" applyProtection="0"/>
  </cellStyleXfs>
  <cellXfs count="80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vertical="center" wrapText="1"/>
    </xf>
    <xf numFmtId="0" fontId="0" fillId="2" borderId="0" xfId="0" applyFill="1"/>
    <xf numFmtId="0" fontId="0" fillId="4" borderId="0" xfId="0" applyFill="1"/>
    <xf numFmtId="0" fontId="3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3" fillId="5" borderId="4" xfId="0" applyFont="1" applyFill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5" borderId="1" xfId="0" applyFont="1" applyFill="1" applyBorder="1" applyAlignment="1">
      <alignment vertical="center" wrapText="1"/>
    </xf>
    <xf numFmtId="4" fontId="3" fillId="0" borderId="1" xfId="0" applyNumberFormat="1" applyFont="1" applyBorder="1" applyAlignment="1">
      <alignment vertical="center" wrapText="1"/>
    </xf>
    <xf numFmtId="3" fontId="2" fillId="0" borderId="1" xfId="0" applyNumberFormat="1" applyFont="1" applyBorder="1" applyAlignment="1">
      <alignment vertical="center" wrapText="1"/>
    </xf>
    <xf numFmtId="3" fontId="3" fillId="0" borderId="1" xfId="0" applyNumberFormat="1" applyFont="1" applyBorder="1" applyAlignment="1">
      <alignment vertical="center" wrapText="1"/>
    </xf>
    <xf numFmtId="3" fontId="0" fillId="0" borderId="0" xfId="0" applyNumberFormat="1"/>
    <xf numFmtId="3" fontId="3" fillId="0" borderId="1" xfId="0" quotePrefix="1" applyNumberFormat="1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3" fontId="3" fillId="5" borderId="1" xfId="0" applyNumberFormat="1" applyFont="1" applyFill="1" applyBorder="1" applyAlignment="1">
      <alignment vertical="center" wrapText="1"/>
    </xf>
    <xf numFmtId="3" fontId="3" fillId="0" borderId="2" xfId="0" applyNumberFormat="1" applyFont="1" applyBorder="1" applyAlignment="1">
      <alignment vertical="center" wrapText="1"/>
    </xf>
    <xf numFmtId="3" fontId="3" fillId="0" borderId="3" xfId="0" applyNumberFormat="1" applyFont="1" applyBorder="1" applyAlignment="1">
      <alignment vertical="center" wrapText="1"/>
    </xf>
    <xf numFmtId="3" fontId="0" fillId="0" borderId="4" xfId="0" applyNumberFormat="1" applyBorder="1"/>
    <xf numFmtId="10" fontId="0" fillId="0" borderId="0" xfId="1" applyNumberFormat="1" applyFont="1"/>
    <xf numFmtId="0" fontId="3" fillId="0" borderId="0" xfId="0" applyFont="1" applyAlignment="1">
      <alignment vertical="center" wrapText="1"/>
    </xf>
    <xf numFmtId="17" fontId="0" fillId="0" borderId="0" xfId="0" applyNumberFormat="1"/>
    <xf numFmtId="9" fontId="0" fillId="2" borderId="0" xfId="1" applyFont="1" applyFill="1"/>
    <xf numFmtId="0" fontId="3" fillId="10" borderId="7" xfId="0" applyFont="1" applyFill="1" applyBorder="1" applyAlignment="1">
      <alignment vertical="center" wrapText="1"/>
    </xf>
    <xf numFmtId="4" fontId="0" fillId="10" borderId="0" xfId="0" applyNumberFormat="1" applyFill="1"/>
    <xf numFmtId="9" fontId="0" fillId="0" borderId="0" xfId="1" applyFont="1"/>
    <xf numFmtId="4" fontId="0" fillId="4" borderId="0" xfId="0" applyNumberFormat="1" applyFill="1"/>
    <xf numFmtId="0" fontId="0" fillId="6" borderId="0" xfId="0" applyFill="1"/>
    <xf numFmtId="0" fontId="10" fillId="6" borderId="0" xfId="0" applyFont="1" applyFill="1" applyAlignment="1">
      <alignment vertical="center" wrapText="1"/>
    </xf>
    <xf numFmtId="0" fontId="9" fillId="6" borderId="0" xfId="0" applyFont="1" applyFill="1" applyAlignment="1">
      <alignment vertical="center" wrapText="1"/>
    </xf>
    <xf numFmtId="1" fontId="0" fillId="6" borderId="0" xfId="0" applyNumberFormat="1" applyFill="1"/>
    <xf numFmtId="4" fontId="3" fillId="0" borderId="0" xfId="0" applyNumberFormat="1" applyFont="1" applyAlignment="1">
      <alignment vertical="center" wrapText="1"/>
    </xf>
    <xf numFmtId="0" fontId="0" fillId="0" borderId="0" xfId="0" quotePrefix="1"/>
    <xf numFmtId="0" fontId="6" fillId="0" borderId="0" xfId="0" applyFont="1"/>
    <xf numFmtId="0" fontId="12" fillId="0" borderId="0" xfId="0" applyFont="1"/>
    <xf numFmtId="0" fontId="2" fillId="0" borderId="4" xfId="0" applyFont="1" applyBorder="1" applyAlignment="1">
      <alignment vertical="center" wrapText="1"/>
    </xf>
    <xf numFmtId="0" fontId="8" fillId="0" borderId="4" xfId="0" applyFont="1" applyBorder="1" applyAlignment="1">
      <alignment vertical="center" wrapText="1"/>
    </xf>
    <xf numFmtId="0" fontId="9" fillId="0" borderId="4" xfId="0" applyFont="1" applyBorder="1" applyAlignment="1">
      <alignment vertical="center" wrapText="1"/>
    </xf>
    <xf numFmtId="3" fontId="3" fillId="0" borderId="4" xfId="0" applyNumberFormat="1" applyFont="1" applyBorder="1" applyAlignment="1">
      <alignment vertical="center" wrapText="1"/>
    </xf>
    <xf numFmtId="0" fontId="0" fillId="0" borderId="4" xfId="0" applyBorder="1"/>
    <xf numFmtId="4" fontId="3" fillId="0" borderId="4" xfId="0" applyNumberFormat="1" applyFont="1" applyBorder="1" applyAlignment="1">
      <alignment vertical="center" wrapText="1"/>
    </xf>
    <xf numFmtId="0" fontId="10" fillId="0" borderId="4" xfId="0" applyFont="1" applyBorder="1" applyAlignment="1">
      <alignment vertical="center" wrapText="1"/>
    </xf>
    <xf numFmtId="0" fontId="11" fillId="0" borderId="4" xfId="0" applyFont="1" applyBorder="1"/>
    <xf numFmtId="0" fontId="4" fillId="0" borderId="4" xfId="0" applyFont="1" applyBorder="1" applyAlignment="1">
      <alignment vertical="center" wrapText="1"/>
    </xf>
    <xf numFmtId="4" fontId="3" fillId="11" borderId="4" xfId="0" applyNumberFormat="1" applyFont="1" applyFill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4" fillId="3" borderId="4" xfId="0" applyFont="1" applyFill="1" applyBorder="1" applyAlignment="1">
      <alignment vertical="center" wrapText="1"/>
    </xf>
    <xf numFmtId="0" fontId="3" fillId="3" borderId="4" xfId="0" applyFont="1" applyFill="1" applyBorder="1" applyAlignment="1">
      <alignment vertical="center" wrapText="1"/>
    </xf>
    <xf numFmtId="3" fontId="3" fillId="3" borderId="4" xfId="0" applyNumberFormat="1" applyFont="1" applyFill="1" applyBorder="1" applyAlignment="1">
      <alignment vertical="center" wrapText="1"/>
    </xf>
    <xf numFmtId="0" fontId="4" fillId="7" borderId="4" xfId="0" applyFont="1" applyFill="1" applyBorder="1" applyAlignment="1">
      <alignment vertical="center" wrapText="1"/>
    </xf>
    <xf numFmtId="0" fontId="3" fillId="7" borderId="4" xfId="0" applyFont="1" applyFill="1" applyBorder="1" applyAlignment="1">
      <alignment vertical="center" wrapText="1"/>
    </xf>
    <xf numFmtId="3" fontId="3" fillId="7" borderId="4" xfId="0" applyNumberFormat="1" applyFont="1" applyFill="1" applyBorder="1" applyAlignment="1">
      <alignment vertical="center" wrapText="1"/>
    </xf>
    <xf numFmtId="3" fontId="3" fillId="11" borderId="4" xfId="0" applyNumberFormat="1" applyFont="1" applyFill="1" applyBorder="1" applyAlignment="1">
      <alignment vertical="center" wrapText="1"/>
    </xf>
    <xf numFmtId="3" fontId="3" fillId="2" borderId="4" xfId="0" applyNumberFormat="1" applyFont="1" applyFill="1" applyBorder="1" applyAlignment="1">
      <alignment vertical="center" wrapText="1"/>
    </xf>
    <xf numFmtId="0" fontId="4" fillId="8" borderId="4" xfId="0" applyFont="1" applyFill="1" applyBorder="1" applyAlignment="1">
      <alignment vertical="center" wrapText="1"/>
    </xf>
    <xf numFmtId="0" fontId="3" fillId="8" borderId="4" xfId="0" applyFont="1" applyFill="1" applyBorder="1" applyAlignment="1">
      <alignment vertical="center" wrapText="1"/>
    </xf>
    <xf numFmtId="3" fontId="3" fillId="8" borderId="4" xfId="0" applyNumberFormat="1" applyFont="1" applyFill="1" applyBorder="1" applyAlignment="1">
      <alignment vertical="center" wrapText="1"/>
    </xf>
    <xf numFmtId="0" fontId="0" fillId="9" borderId="4" xfId="0" applyFill="1" applyBorder="1"/>
    <xf numFmtId="3" fontId="0" fillId="9" borderId="4" xfId="0" applyNumberFormat="1" applyFill="1" applyBorder="1"/>
    <xf numFmtId="0" fontId="6" fillId="0" borderId="4" xfId="0" applyFont="1" applyBorder="1" applyAlignment="1">
      <alignment vertical="center" wrapText="1"/>
    </xf>
    <xf numFmtId="0" fontId="4" fillId="0" borderId="0" xfId="0" applyFont="1"/>
    <xf numFmtId="0" fontId="4" fillId="0" borderId="1" xfId="0" applyFont="1" applyBorder="1" applyAlignment="1">
      <alignment vertical="center" wrapText="1"/>
    </xf>
    <xf numFmtId="0" fontId="4" fillId="0" borderId="0" xfId="0" applyFont="1" applyAlignment="1">
      <alignment vertical="center" wrapText="1"/>
    </xf>
    <xf numFmtId="0" fontId="3" fillId="0" borderId="1" xfId="0" quotePrefix="1" applyFont="1" applyBorder="1" applyAlignment="1">
      <alignment vertical="center" wrapText="1"/>
    </xf>
    <xf numFmtId="10" fontId="3" fillId="0" borderId="1" xfId="1" applyNumberFormat="1" applyFont="1" applyFill="1" applyBorder="1" applyAlignment="1">
      <alignment vertical="center" wrapText="1"/>
    </xf>
    <xf numFmtId="10" fontId="3" fillId="0" borderId="1" xfId="0" applyNumberFormat="1" applyFont="1" applyBorder="1" applyAlignment="1">
      <alignment vertical="center" wrapText="1"/>
    </xf>
    <xf numFmtId="0" fontId="13" fillId="0" borderId="0" xfId="0" applyFont="1"/>
    <xf numFmtId="0" fontId="14" fillId="0" borderId="0" xfId="0" applyFont="1"/>
    <xf numFmtId="0" fontId="14" fillId="0" borderId="4" xfId="0" applyFont="1" applyBorder="1"/>
    <xf numFmtId="0" fontId="15" fillId="0" borderId="4" xfId="0" applyFont="1" applyBorder="1" applyAlignment="1">
      <alignment vertical="center" wrapText="1"/>
    </xf>
    <xf numFmtId="4" fontId="15" fillId="0" borderId="4" xfId="0" applyNumberFormat="1" applyFont="1" applyBorder="1" applyAlignment="1">
      <alignment vertical="center" wrapText="1"/>
    </xf>
    <xf numFmtId="4" fontId="15" fillId="0" borderId="0" xfId="0" applyNumberFormat="1" applyFont="1" applyAlignment="1">
      <alignment vertical="center" wrapText="1"/>
    </xf>
    <xf numFmtId="10" fontId="15" fillId="0" borderId="4" xfId="1" applyNumberFormat="1" applyFont="1" applyFill="1" applyBorder="1" applyAlignment="1">
      <alignment vertical="center" wrapText="1"/>
    </xf>
    <xf numFmtId="10" fontId="14" fillId="0" borderId="4" xfId="0" applyNumberFormat="1" applyFont="1" applyBorder="1"/>
    <xf numFmtId="0" fontId="8" fillId="0" borderId="0" xfId="0" applyFont="1" applyAlignment="1">
      <alignment vertical="center" wrapText="1"/>
    </xf>
    <xf numFmtId="0" fontId="9" fillId="0" borderId="0" xfId="0" applyFont="1" applyAlignment="1">
      <alignment vertical="center" wrapText="1"/>
    </xf>
    <xf numFmtId="0" fontId="10" fillId="0" borderId="0" xfId="0" applyFont="1" applyAlignment="1">
      <alignment vertical="center" wrapText="1"/>
    </xf>
  </cellXfs>
  <cellStyles count="2">
    <cellStyle name="Normal" xfId="0" builtinId="0"/>
    <cellStyle name="Percent" xfId="1" builtinId="5"/>
  </cellStyles>
  <dxfs count="4">
    <dxf>
      <fill>
        <patternFill>
          <bgColor rgb="FF92D050"/>
        </patternFill>
      </fill>
    </dxf>
    <dxf>
      <fill>
        <patternFill>
          <bgColor rgb="FFEE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Light16"/>
  <colors>
    <mruColors>
      <color rgb="FFF5FEB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Office" id="{2A4DFA91-4B17-4CDF-A3C0-0B6E64178CE7}" userId="S::248453@office365works.net::1f849330-f8cc-4569-9b42-3743b5ab11e9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98" dT="2025-06-24T16:49:26.22" personId="{2A4DFA91-4B17-4CDF-A3C0-0B6E64178CE7}" id="{4AAA2D74-3D89-4C47-AB8D-D9EBA6A6D1C4}">
    <text xml:space="preserve">These items which are in pink colour as taken as residual values from their respective category 
</text>
  </threadedComment>
  <threadedComment ref="A106" dT="2025-06-25T04:16:25.73" personId="{2A4DFA91-4B17-4CDF-A3C0-0B6E64178CE7}" id="{28C850CE-7B3F-489C-AAF2-5ABD65D1A5D1}">
    <text xml:space="preserve">It is derived as the difference between closing and opening cash balance ( opening C&amp;CE - closing C&amp;CE)
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A15" dT="2025-06-24T16:49:26.22" personId="{2A4DFA91-4B17-4CDF-A3C0-0B6E64178CE7}" id="{70B5111A-45DB-46B1-A4AC-23E483FAB5E4}">
    <text xml:space="preserve">These items which are in pink colour as taken as residual values from their respective category 
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6E16B-972D-4C4F-A690-609EDBC86713}">
  <dimension ref="A1:L109"/>
  <sheetViews>
    <sheetView tabSelected="1" topLeftCell="A123" zoomScaleNormal="100" workbookViewId="0">
      <selection activeCell="A127" sqref="A127"/>
    </sheetView>
  </sheetViews>
  <sheetFormatPr defaultRowHeight="14.5" x14ac:dyDescent="0.35"/>
  <cols>
    <col min="1" max="1" width="57.6328125" bestFit="1" customWidth="1"/>
    <col min="12" max="12" width="47.81640625" customWidth="1"/>
  </cols>
  <sheetData>
    <row r="1" spans="1:12" x14ac:dyDescent="0.35">
      <c r="A1" s="1" t="s">
        <v>92</v>
      </c>
    </row>
    <row r="2" spans="1:12" x14ac:dyDescent="0.35">
      <c r="A2" s="1" t="s">
        <v>1</v>
      </c>
      <c r="B2" s="77">
        <v>2015</v>
      </c>
      <c r="C2" s="77">
        <v>2016</v>
      </c>
      <c r="D2" s="77">
        <v>2017</v>
      </c>
      <c r="E2" s="77">
        <v>2018</v>
      </c>
      <c r="F2" s="77">
        <v>2019</v>
      </c>
      <c r="G2" s="77">
        <v>2020</v>
      </c>
      <c r="H2" s="77">
        <v>2021</v>
      </c>
      <c r="I2" s="77">
        <v>2022</v>
      </c>
      <c r="J2" s="77">
        <v>2023</v>
      </c>
      <c r="K2" s="77">
        <v>2024</v>
      </c>
    </row>
    <row r="3" spans="1:12" x14ac:dyDescent="0.35">
      <c r="A3" t="s">
        <v>90</v>
      </c>
      <c r="B3">
        <v>1463.4</v>
      </c>
      <c r="C3">
        <v>134.9</v>
      </c>
      <c r="D3">
        <v>244.1</v>
      </c>
      <c r="E3">
        <v>-12.5</v>
      </c>
      <c r="F3">
        <v>578</v>
      </c>
      <c r="G3">
        <v>-202.4</v>
      </c>
      <c r="H3">
        <v>-217.5</v>
      </c>
      <c r="I3">
        <v>70.099999999999994</v>
      </c>
      <c r="J3">
        <v>104.7</v>
      </c>
      <c r="K3">
        <v>153.5</v>
      </c>
    </row>
    <row r="4" spans="1:12" x14ac:dyDescent="0.35">
      <c r="A4" t="s">
        <v>91</v>
      </c>
      <c r="B4">
        <v>358.3</v>
      </c>
      <c r="C4">
        <v>244.1</v>
      </c>
      <c r="D4">
        <v>-12.5</v>
      </c>
      <c r="E4">
        <v>578</v>
      </c>
      <c r="F4">
        <v>-202.4</v>
      </c>
      <c r="G4">
        <v>-217.5</v>
      </c>
      <c r="H4">
        <v>70.099999999999994</v>
      </c>
      <c r="I4">
        <v>104.7</v>
      </c>
      <c r="J4">
        <v>153.5</v>
      </c>
      <c r="K4">
        <v>107.7</v>
      </c>
    </row>
    <row r="5" spans="1:12" x14ac:dyDescent="0.35">
      <c r="A5" s="78" t="s">
        <v>23</v>
      </c>
      <c r="B5">
        <v>2046.9</v>
      </c>
      <c r="C5">
        <v>2591.1</v>
      </c>
      <c r="D5">
        <v>3108.3</v>
      </c>
      <c r="E5">
        <v>3428.8</v>
      </c>
      <c r="F5">
        <v>3694.8</v>
      </c>
      <c r="G5">
        <v>4217.3</v>
      </c>
      <c r="H5">
        <v>3061.1</v>
      </c>
      <c r="I5">
        <v>3790.5</v>
      </c>
      <c r="J5">
        <v>4238.6000000000004</v>
      </c>
      <c r="K5">
        <v>4438</v>
      </c>
    </row>
    <row r="6" spans="1:12" x14ac:dyDescent="0.35">
      <c r="A6" t="s">
        <v>2</v>
      </c>
      <c r="B6">
        <v>32547.29</v>
      </c>
      <c r="C6">
        <v>32030.02</v>
      </c>
      <c r="D6">
        <v>32636.2</v>
      </c>
      <c r="E6">
        <v>34331.379999999997</v>
      </c>
      <c r="F6">
        <v>38404.910000000003</v>
      </c>
      <c r="G6">
        <v>38719.94</v>
      </c>
      <c r="H6">
        <v>44015.53</v>
      </c>
      <c r="I6">
        <v>51510.68</v>
      </c>
      <c r="J6">
        <v>56989.86</v>
      </c>
      <c r="K6">
        <v>58304.24</v>
      </c>
      <c r="L6" s="3"/>
    </row>
    <row r="7" spans="1:12" x14ac:dyDescent="0.35">
      <c r="A7" t="s">
        <v>3</v>
      </c>
      <c r="B7">
        <v>46062.3</v>
      </c>
      <c r="C7">
        <v>43744</v>
      </c>
      <c r="D7">
        <v>42936.7</v>
      </c>
      <c r="E7">
        <v>44455.9</v>
      </c>
      <c r="F7">
        <v>49643.5</v>
      </c>
      <c r="G7">
        <v>50071.8</v>
      </c>
      <c r="H7">
        <v>57083.6</v>
      </c>
      <c r="I7">
        <v>65504.2</v>
      </c>
      <c r="J7">
        <v>71026.399999999994</v>
      </c>
      <c r="K7">
        <v>74343.600000000006</v>
      </c>
    </row>
    <row r="8" spans="1:12" x14ac:dyDescent="0.35">
      <c r="A8" t="s">
        <v>10</v>
      </c>
      <c r="B8">
        <v>16617.3</v>
      </c>
      <c r="C8">
        <v>17559.099999999999</v>
      </c>
      <c r="D8">
        <v>18743.8</v>
      </c>
      <c r="E8">
        <v>12447.3</v>
      </c>
      <c r="F8">
        <v>15280.5</v>
      </c>
      <c r="G8">
        <v>14527.2</v>
      </c>
      <c r="H8">
        <v>20498.3</v>
      </c>
      <c r="I8">
        <v>23252.3</v>
      </c>
      <c r="J8">
        <v>26550.6</v>
      </c>
      <c r="K8">
        <v>29183</v>
      </c>
    </row>
    <row r="9" spans="1:12" x14ac:dyDescent="0.35">
      <c r="A9" t="s">
        <v>70</v>
      </c>
      <c r="B9">
        <v>743</v>
      </c>
      <c r="C9">
        <v>897.4</v>
      </c>
      <c r="D9">
        <v>1133.5999999999999</v>
      </c>
      <c r="E9">
        <v>1138.3</v>
      </c>
      <c r="F9">
        <v>1109.3</v>
      </c>
      <c r="G9">
        <v>1296.7</v>
      </c>
      <c r="H9">
        <v>1315</v>
      </c>
      <c r="I9">
        <v>1483.6</v>
      </c>
      <c r="J9">
        <v>1770</v>
      </c>
      <c r="K9">
        <v>1923.6</v>
      </c>
    </row>
    <row r="10" spans="1:12" x14ac:dyDescent="0.35">
      <c r="A10" s="78" t="s">
        <v>20</v>
      </c>
      <c r="B10">
        <v>647.20000000000005</v>
      </c>
      <c r="C10">
        <v>713.9</v>
      </c>
      <c r="D10">
        <v>735.9</v>
      </c>
      <c r="E10">
        <v>1000.3</v>
      </c>
      <c r="F10">
        <v>1059.9000000000001</v>
      </c>
      <c r="G10">
        <v>1268.5999999999999</v>
      </c>
      <c r="H10">
        <v>1400.8</v>
      </c>
      <c r="I10">
        <v>1570.6</v>
      </c>
      <c r="J10">
        <v>1842.3</v>
      </c>
      <c r="K10">
        <v>2046</v>
      </c>
    </row>
    <row r="11" spans="1:12" x14ac:dyDescent="0.35">
      <c r="A11" t="s">
        <v>74</v>
      </c>
      <c r="B11">
        <v>-2040.9</v>
      </c>
      <c r="C11">
        <v>-2607.3000000000002</v>
      </c>
      <c r="D11">
        <v>-2745</v>
      </c>
      <c r="E11">
        <v>-3010.7</v>
      </c>
      <c r="F11">
        <v>-3195.6</v>
      </c>
      <c r="G11">
        <v>-2689.4</v>
      </c>
      <c r="H11">
        <v>-2746</v>
      </c>
      <c r="I11">
        <v>-3284.5</v>
      </c>
      <c r="J11">
        <v>-4323.5</v>
      </c>
      <c r="K11">
        <v>-3903.3</v>
      </c>
    </row>
    <row r="12" spans="1:12" x14ac:dyDescent="0.35">
      <c r="A12" t="s">
        <v>84</v>
      </c>
      <c r="B12">
        <v>3947.9</v>
      </c>
      <c r="C12">
        <v>3511.2</v>
      </c>
      <c r="D12">
        <v>3963.4</v>
      </c>
      <c r="E12">
        <v>3963.4</v>
      </c>
      <c r="F12">
        <v>13247.1</v>
      </c>
      <c r="G12">
        <v>5124.5</v>
      </c>
      <c r="H12">
        <v>5920.9</v>
      </c>
      <c r="I12">
        <v>9723.2000000000007</v>
      </c>
      <c r="J12">
        <v>9213.1</v>
      </c>
      <c r="K12">
        <v>9657.6</v>
      </c>
    </row>
    <row r="13" spans="1:12" x14ac:dyDescent="0.35">
      <c r="A13" t="s">
        <v>15</v>
      </c>
      <c r="B13">
        <v>3525.4</v>
      </c>
      <c r="C13">
        <v>4232</v>
      </c>
      <c r="D13">
        <v>3963.4</v>
      </c>
      <c r="E13">
        <v>3963.4</v>
      </c>
      <c r="F13">
        <v>13247.1</v>
      </c>
      <c r="G13">
        <v>5124.5</v>
      </c>
      <c r="H13">
        <v>5920.9</v>
      </c>
      <c r="I13">
        <v>9723.2000000000007</v>
      </c>
      <c r="J13">
        <v>9213.1</v>
      </c>
      <c r="K13">
        <v>9657.6</v>
      </c>
    </row>
    <row r="14" spans="1:12" x14ac:dyDescent="0.35">
      <c r="A14" t="s">
        <v>85</v>
      </c>
      <c r="B14">
        <v>671.6</v>
      </c>
      <c r="C14">
        <v>715.8</v>
      </c>
      <c r="D14">
        <v>806.9</v>
      </c>
      <c r="E14">
        <v>806.9</v>
      </c>
      <c r="F14">
        <v>2723</v>
      </c>
      <c r="G14">
        <v>1053.3</v>
      </c>
      <c r="H14">
        <v>0</v>
      </c>
      <c r="I14">
        <v>0</v>
      </c>
      <c r="J14">
        <v>0</v>
      </c>
      <c r="K14">
        <v>0</v>
      </c>
    </row>
    <row r="15" spans="1:12" x14ac:dyDescent="0.35">
      <c r="A15" s="78" t="s">
        <v>21</v>
      </c>
      <c r="B15">
        <v>51.4</v>
      </c>
      <c r="C15">
        <v>36.299999999999997</v>
      </c>
      <c r="D15">
        <v>162.1</v>
      </c>
      <c r="E15">
        <v>182.4</v>
      </c>
      <c r="F15">
        <v>259.89999999999998</v>
      </c>
      <c r="G15">
        <v>174.2</v>
      </c>
      <c r="H15">
        <v>86.8</v>
      </c>
      <c r="I15">
        <v>181.9</v>
      </c>
      <c r="J15">
        <v>457.7</v>
      </c>
      <c r="K15">
        <v>801.2</v>
      </c>
    </row>
    <row r="16" spans="1:12" x14ac:dyDescent="0.35">
      <c r="A16" t="s">
        <v>116</v>
      </c>
      <c r="B16">
        <v>51.4</v>
      </c>
      <c r="C16">
        <v>32</v>
      </c>
      <c r="D16">
        <v>101</v>
      </c>
      <c r="E16">
        <v>175.8</v>
      </c>
      <c r="F16">
        <v>260.3</v>
      </c>
      <c r="G16">
        <v>183.1</v>
      </c>
      <c r="H16">
        <v>87.7</v>
      </c>
      <c r="I16">
        <v>130.1</v>
      </c>
      <c r="J16">
        <v>457</v>
      </c>
      <c r="K16">
        <v>640.5</v>
      </c>
    </row>
    <row r="17" spans="1:11" x14ac:dyDescent="0.35">
      <c r="A17" t="s">
        <v>79</v>
      </c>
      <c r="B17">
        <v>846.7</v>
      </c>
      <c r="C17">
        <v>1386.4</v>
      </c>
      <c r="D17">
        <v>1720.3</v>
      </c>
      <c r="E17">
        <v>2207.1999999999998</v>
      </c>
      <c r="F17">
        <v>2204.3000000000002</v>
      </c>
      <c r="G17">
        <v>2263</v>
      </c>
      <c r="H17">
        <v>2305.4</v>
      </c>
      <c r="I17">
        <v>3204.1</v>
      </c>
      <c r="J17">
        <v>3347.8</v>
      </c>
      <c r="K17">
        <v>3165.7</v>
      </c>
    </row>
    <row r="18" spans="1:11" x14ac:dyDescent="0.35">
      <c r="A18" t="s">
        <v>64</v>
      </c>
      <c r="B18">
        <v>5506</v>
      </c>
      <c r="C18">
        <v>6155.6</v>
      </c>
      <c r="D18">
        <v>5992.7</v>
      </c>
      <c r="E18">
        <v>7047.9</v>
      </c>
      <c r="F18">
        <v>7329</v>
      </c>
      <c r="G18">
        <v>8091.4</v>
      </c>
      <c r="H18">
        <v>11141.6</v>
      </c>
      <c r="I18">
        <v>12379.6</v>
      </c>
      <c r="J18">
        <v>12237.7</v>
      </c>
      <c r="K18">
        <v>11498.8</v>
      </c>
    </row>
    <row r="19" spans="1:11" x14ac:dyDescent="0.35">
      <c r="A19" t="s">
        <v>61</v>
      </c>
      <c r="C19">
        <v>7.2</v>
      </c>
      <c r="D19">
        <v>2006.4</v>
      </c>
      <c r="E19">
        <v>2010.4</v>
      </c>
      <c r="F19">
        <v>260.5</v>
      </c>
      <c r="G19">
        <v>246.8</v>
      </c>
      <c r="H19">
        <v>196.2</v>
      </c>
      <c r="I19">
        <v>2894.4</v>
      </c>
      <c r="J19">
        <v>2946.6</v>
      </c>
      <c r="K19">
        <v>5602.8</v>
      </c>
    </row>
    <row r="20" spans="1:11" x14ac:dyDescent="0.35">
      <c r="A20" t="s">
        <v>80</v>
      </c>
      <c r="B20">
        <v>8392</v>
      </c>
      <c r="C20">
        <v>9603</v>
      </c>
      <c r="D20">
        <v>9269.4</v>
      </c>
      <c r="E20">
        <v>8164.1</v>
      </c>
      <c r="F20">
        <v>11235.7</v>
      </c>
      <c r="G20">
        <v>11547.7</v>
      </c>
      <c r="H20">
        <v>17041.7</v>
      </c>
      <c r="I20">
        <v>13199.5</v>
      </c>
      <c r="J20">
        <v>15619.1</v>
      </c>
      <c r="K20">
        <v>16533.3</v>
      </c>
    </row>
    <row r="21" spans="1:11" x14ac:dyDescent="0.35">
      <c r="A21" t="s">
        <v>83</v>
      </c>
      <c r="B21">
        <v>-1137.2</v>
      </c>
      <c r="C21">
        <v>76.099999999999994</v>
      </c>
      <c r="D21">
        <v>-288.39999999999998</v>
      </c>
      <c r="E21">
        <v>578.5</v>
      </c>
      <c r="F21">
        <v>-791.1</v>
      </c>
      <c r="G21">
        <v>-27.7</v>
      </c>
      <c r="H21">
        <v>277.3</v>
      </c>
      <c r="I21">
        <v>23.6</v>
      </c>
      <c r="J21">
        <v>35.1</v>
      </c>
      <c r="K21">
        <v>-59.9</v>
      </c>
    </row>
    <row r="22" spans="1:11" x14ac:dyDescent="0.35">
      <c r="A22" t="s">
        <v>82</v>
      </c>
      <c r="B22">
        <v>-3367.5</v>
      </c>
      <c r="C22">
        <v>-4550.5</v>
      </c>
      <c r="D22">
        <v>-2736.6</v>
      </c>
      <c r="E22">
        <v>-4961.8</v>
      </c>
      <c r="F22">
        <v>-16193.9</v>
      </c>
      <c r="G22">
        <v>-8260</v>
      </c>
      <c r="H22">
        <v>-5550.4</v>
      </c>
      <c r="I22">
        <v>-6347.9</v>
      </c>
      <c r="J22">
        <v>-9398.2999999999993</v>
      </c>
      <c r="K22">
        <v>-9218.2000000000007</v>
      </c>
    </row>
    <row r="23" spans="1:11" x14ac:dyDescent="0.35">
      <c r="A23" t="s">
        <v>81</v>
      </c>
      <c r="B23">
        <v>-6161.7</v>
      </c>
      <c r="C23">
        <v>-4976.3999999999996</v>
      </c>
      <c r="D23">
        <v>-6821.2</v>
      </c>
      <c r="E23">
        <v>-2623.8</v>
      </c>
      <c r="F23">
        <v>4167.1000000000004</v>
      </c>
      <c r="G23">
        <v>-3315.4</v>
      </c>
      <c r="H23">
        <v>-11214</v>
      </c>
      <c r="I23">
        <v>-6828</v>
      </c>
      <c r="J23">
        <v>-6185.7</v>
      </c>
      <c r="K23">
        <v>-7375</v>
      </c>
    </row>
    <row r="24" spans="1:11" x14ac:dyDescent="0.35">
      <c r="A24" t="s">
        <v>7</v>
      </c>
      <c r="B24">
        <v>200.9</v>
      </c>
      <c r="C24">
        <v>170.4</v>
      </c>
      <c r="D24">
        <v>128</v>
      </c>
      <c r="E24">
        <v>87.8</v>
      </c>
      <c r="F24">
        <v>153.69999999999999</v>
      </c>
      <c r="G24">
        <v>251.5</v>
      </c>
      <c r="H24">
        <v>264.2</v>
      </c>
      <c r="I24">
        <v>234.4</v>
      </c>
      <c r="J24">
        <v>210.1</v>
      </c>
      <c r="K24">
        <v>238</v>
      </c>
    </row>
    <row r="25" spans="1:11" x14ac:dyDescent="0.35">
      <c r="A25" t="s">
        <v>6</v>
      </c>
      <c r="B25">
        <v>6624.3</v>
      </c>
      <c r="C25">
        <v>6217.7</v>
      </c>
      <c r="D25">
        <v>9291.7999999999993</v>
      </c>
      <c r="E25">
        <v>9713.4</v>
      </c>
      <c r="F25">
        <v>9718.7999999999993</v>
      </c>
      <c r="G25">
        <v>10607.5</v>
      </c>
      <c r="H25">
        <v>11310</v>
      </c>
      <c r="I25">
        <v>13291.9</v>
      </c>
      <c r="J25">
        <v>15955.8</v>
      </c>
      <c r="K25">
        <v>18100.099999999999</v>
      </c>
    </row>
    <row r="26" spans="1:11" x14ac:dyDescent="0.35">
      <c r="A26" t="s">
        <v>88</v>
      </c>
      <c r="B26">
        <v>2636.6</v>
      </c>
      <c r="C26">
        <v>5890.8</v>
      </c>
      <c r="D26">
        <v>5138.7</v>
      </c>
      <c r="E26">
        <v>6137.1</v>
      </c>
      <c r="F26">
        <v>5355.9</v>
      </c>
      <c r="G26">
        <v>16876.099999999999</v>
      </c>
      <c r="H26">
        <v>6768</v>
      </c>
      <c r="I26">
        <v>2552.3000000000002</v>
      </c>
      <c r="J26">
        <v>-5049.2</v>
      </c>
      <c r="K26">
        <v>3733.1</v>
      </c>
    </row>
    <row r="27" spans="1:11" x14ac:dyDescent="0.35">
      <c r="A27" t="s">
        <v>8</v>
      </c>
      <c r="B27">
        <v>23927.200000000001</v>
      </c>
      <c r="C27">
        <v>28679</v>
      </c>
      <c r="D27">
        <v>37213.199999999997</v>
      </c>
      <c r="E27">
        <v>38886.300000000003</v>
      </c>
      <c r="F27">
        <v>35620.400000000001</v>
      </c>
      <c r="G27">
        <v>29695.9</v>
      </c>
      <c r="H27">
        <v>48057</v>
      </c>
      <c r="I27">
        <v>60361.7</v>
      </c>
      <c r="J27">
        <v>72214.100000000006</v>
      </c>
      <c r="K27">
        <v>71923.100000000006</v>
      </c>
    </row>
    <row r="28" spans="1:11" x14ac:dyDescent="0.35">
      <c r="A28" t="s">
        <v>11</v>
      </c>
      <c r="B28">
        <v>3898.2</v>
      </c>
      <c r="C28">
        <v>3995.6</v>
      </c>
      <c r="D28">
        <v>6400.6</v>
      </c>
      <c r="E28">
        <v>3861.3</v>
      </c>
      <c r="F28">
        <v>1993</v>
      </c>
      <c r="G28">
        <v>2187</v>
      </c>
      <c r="H28">
        <v>2080.6999999999998</v>
      </c>
      <c r="I28">
        <v>4986.3</v>
      </c>
      <c r="J28">
        <v>5342.9</v>
      </c>
      <c r="K28">
        <v>8182.8</v>
      </c>
    </row>
    <row r="29" spans="1:11" x14ac:dyDescent="0.35">
      <c r="A29" s="78" t="s">
        <v>22</v>
      </c>
      <c r="B29">
        <v>27.8</v>
      </c>
      <c r="C29">
        <v>25.6</v>
      </c>
      <c r="D29">
        <v>63.2</v>
      </c>
      <c r="E29">
        <v>465.3</v>
      </c>
      <c r="F29">
        <v>720.9</v>
      </c>
      <c r="G29">
        <v>712.1</v>
      </c>
      <c r="H29">
        <v>455.9</v>
      </c>
      <c r="I29">
        <v>167.5</v>
      </c>
      <c r="J29">
        <v>153.80000000000001</v>
      </c>
      <c r="K29">
        <v>259.10000000000002</v>
      </c>
    </row>
    <row r="30" spans="1:11" x14ac:dyDescent="0.35">
      <c r="A30" t="s">
        <v>59</v>
      </c>
      <c r="D30">
        <v>2000</v>
      </c>
      <c r="E30">
        <v>4</v>
      </c>
      <c r="F30">
        <v>0.2</v>
      </c>
      <c r="I30">
        <v>2489.5</v>
      </c>
      <c r="K30">
        <v>2488.6</v>
      </c>
    </row>
    <row r="31" spans="1:11" x14ac:dyDescent="0.35">
      <c r="A31" t="s">
        <v>60</v>
      </c>
      <c r="B31">
        <v>868.9</v>
      </c>
      <c r="F31">
        <v>31.5</v>
      </c>
      <c r="H31">
        <v>829.4</v>
      </c>
      <c r="I31">
        <v>1142.8</v>
      </c>
      <c r="J31">
        <v>9035.7999999999993</v>
      </c>
      <c r="K31">
        <v>1427</v>
      </c>
    </row>
    <row r="32" spans="1:11" x14ac:dyDescent="0.35">
      <c r="A32" t="s">
        <v>5</v>
      </c>
      <c r="B32">
        <v>7625.8</v>
      </c>
      <c r="C32">
        <v>9372.6</v>
      </c>
      <c r="D32">
        <v>9983.2999999999993</v>
      </c>
      <c r="E32">
        <v>10720.5</v>
      </c>
      <c r="F32">
        <v>12642.9</v>
      </c>
      <c r="G32">
        <v>11703.5</v>
      </c>
      <c r="H32">
        <v>13818.9</v>
      </c>
      <c r="I32">
        <v>14329.3</v>
      </c>
      <c r="J32">
        <v>13732.6</v>
      </c>
      <c r="K32">
        <v>15092.1</v>
      </c>
    </row>
    <row r="33" spans="1:11" ht="16.5" x14ac:dyDescent="0.35">
      <c r="A33" s="79" t="s">
        <v>67</v>
      </c>
      <c r="B33">
        <v>6078.6</v>
      </c>
      <c r="C33">
        <v>5985.5</v>
      </c>
      <c r="D33">
        <v>7299</v>
      </c>
      <c r="E33">
        <v>785.4</v>
      </c>
      <c r="F33">
        <v>987</v>
      </c>
      <c r="G33">
        <v>1383.7</v>
      </c>
      <c r="H33">
        <v>1744.9</v>
      </c>
      <c r="I33">
        <v>2103.3000000000002</v>
      </c>
      <c r="J33">
        <v>2260.5</v>
      </c>
      <c r="K33">
        <v>3058.3</v>
      </c>
    </row>
    <row r="34" spans="1:11" x14ac:dyDescent="0.35">
      <c r="A34" t="s">
        <v>75</v>
      </c>
      <c r="B34">
        <v>-1110.5999999999999</v>
      </c>
      <c r="C34">
        <v>-1068.4000000000001</v>
      </c>
      <c r="D34">
        <v>-4111.2</v>
      </c>
      <c r="E34">
        <v>-1107.4000000000001</v>
      </c>
      <c r="F34">
        <v>-1252.8</v>
      </c>
      <c r="G34">
        <v>-2645.4</v>
      </c>
      <c r="H34">
        <v>-2499</v>
      </c>
      <c r="I34">
        <v>-2967.7</v>
      </c>
      <c r="J34">
        <v>-4100.5</v>
      </c>
      <c r="K34">
        <v>-4565.5</v>
      </c>
    </row>
    <row r="35" spans="1:11" x14ac:dyDescent="0.35">
      <c r="A35" t="s">
        <v>77</v>
      </c>
      <c r="B35">
        <v>-62593</v>
      </c>
      <c r="C35">
        <v>-71357.100000000006</v>
      </c>
      <c r="D35">
        <v>-87213.9</v>
      </c>
      <c r="E35">
        <v>-87012.4</v>
      </c>
      <c r="F35">
        <v>-53927.7</v>
      </c>
      <c r="G35">
        <v>-81236.899999999994</v>
      </c>
      <c r="H35">
        <v>-72766.3</v>
      </c>
      <c r="I35">
        <v>-62413.4</v>
      </c>
      <c r="J35">
        <v>-44461.599999999999</v>
      </c>
      <c r="K35">
        <v>-42291.3</v>
      </c>
    </row>
    <row r="36" spans="1:11" x14ac:dyDescent="0.35">
      <c r="A36" s="78" t="s">
        <v>19</v>
      </c>
      <c r="B36">
        <v>223.1</v>
      </c>
      <c r="C36">
        <v>265.8</v>
      </c>
      <c r="D36">
        <v>302.7</v>
      </c>
      <c r="E36">
        <v>320.39999999999998</v>
      </c>
      <c r="F36">
        <v>372.9</v>
      </c>
      <c r="G36">
        <v>389.9</v>
      </c>
      <c r="H36">
        <v>426.9</v>
      </c>
      <c r="I36">
        <v>417.2</v>
      </c>
      <c r="J36">
        <v>435</v>
      </c>
      <c r="K36">
        <v>442.3</v>
      </c>
    </row>
    <row r="37" spans="1:11" x14ac:dyDescent="0.35">
      <c r="A37" t="s">
        <v>58</v>
      </c>
      <c r="B37">
        <v>0</v>
      </c>
      <c r="G37">
        <v>-1750</v>
      </c>
      <c r="H37">
        <v>-250</v>
      </c>
    </row>
    <row r="38" spans="1:11" x14ac:dyDescent="0.35">
      <c r="A38" t="s">
        <v>57</v>
      </c>
      <c r="B38">
        <v>-20.5</v>
      </c>
      <c r="C38">
        <v>-462</v>
      </c>
      <c r="D38">
        <v>-14</v>
      </c>
      <c r="E38">
        <v>-19.7</v>
      </c>
      <c r="G38">
        <v>-39.299999999999997</v>
      </c>
      <c r="J38">
        <v>-8576.9</v>
      </c>
      <c r="K38">
        <v>-2514.6999999999998</v>
      </c>
    </row>
    <row r="39" spans="1:11" ht="16.5" x14ac:dyDescent="0.35">
      <c r="A39" s="79" t="s">
        <v>69</v>
      </c>
      <c r="B39">
        <v>21605.4</v>
      </c>
      <c r="C39">
        <v>29183.8</v>
      </c>
      <c r="D39">
        <v>34817.300000000003</v>
      </c>
      <c r="E39">
        <v>40507.1</v>
      </c>
      <c r="F39">
        <v>37921.9</v>
      </c>
      <c r="G39">
        <v>43975.199999999997</v>
      </c>
      <c r="H39">
        <v>52144.800000000003</v>
      </c>
      <c r="I39">
        <v>56870.8</v>
      </c>
      <c r="J39">
        <v>61097</v>
      </c>
      <c r="K39">
        <v>67381.7</v>
      </c>
    </row>
    <row r="40" spans="1:11" x14ac:dyDescent="0.35">
      <c r="A40" s="78" t="s">
        <v>17</v>
      </c>
      <c r="B40">
        <v>54245.4</v>
      </c>
      <c r="C40">
        <v>53508.2</v>
      </c>
      <c r="D40">
        <v>52984.2</v>
      </c>
      <c r="E40">
        <v>55456.6</v>
      </c>
      <c r="F40">
        <v>62329.9</v>
      </c>
      <c r="G40">
        <v>62659.3</v>
      </c>
      <c r="H40">
        <v>71552.7</v>
      </c>
      <c r="I40">
        <v>81928.2</v>
      </c>
      <c r="J40">
        <v>86950.1</v>
      </c>
      <c r="K40">
        <v>91449</v>
      </c>
    </row>
    <row r="41" spans="1:11" x14ac:dyDescent="0.35">
      <c r="A41" t="s">
        <v>76</v>
      </c>
      <c r="B41">
        <v>149.30000000000001</v>
      </c>
      <c r="C41">
        <v>94.7</v>
      </c>
      <c r="D41">
        <v>34.9</v>
      </c>
      <c r="E41">
        <v>117.1</v>
      </c>
      <c r="F41">
        <v>40.799999999999997</v>
      </c>
      <c r="G41">
        <v>115.2</v>
      </c>
      <c r="H41">
        <v>21.1</v>
      </c>
      <c r="I41">
        <v>22.2</v>
      </c>
      <c r="J41">
        <v>213.8</v>
      </c>
      <c r="K41">
        <v>9.3000000000000007</v>
      </c>
    </row>
    <row r="42" spans="1:11" x14ac:dyDescent="0.35">
      <c r="A42" t="s">
        <v>78</v>
      </c>
      <c r="B42">
        <v>56545.9</v>
      </c>
      <c r="C42">
        <v>65968</v>
      </c>
      <c r="D42">
        <v>82748.7</v>
      </c>
      <c r="E42">
        <v>83171.7</v>
      </c>
      <c r="F42">
        <v>57102.5</v>
      </c>
      <c r="G42">
        <v>78188.7</v>
      </c>
      <c r="H42">
        <v>61724.800000000003</v>
      </c>
      <c r="I42">
        <v>55326.8</v>
      </c>
      <c r="J42">
        <v>39457.4</v>
      </c>
      <c r="K42">
        <v>36178.300000000003</v>
      </c>
    </row>
    <row r="43" spans="1:11" ht="16.5" x14ac:dyDescent="0.35">
      <c r="A43" s="79" t="s">
        <v>43</v>
      </c>
      <c r="B43">
        <v>1756.5</v>
      </c>
      <c r="C43">
        <v>1759.1</v>
      </c>
      <c r="D43">
        <v>1761.5</v>
      </c>
      <c r="E43">
        <v>1761.5</v>
      </c>
      <c r="F43">
        <v>1766.3</v>
      </c>
      <c r="G43">
        <v>1767.1</v>
      </c>
      <c r="H43">
        <v>1767.4</v>
      </c>
      <c r="I43">
        <v>1767.9</v>
      </c>
      <c r="J43">
        <v>1771.8</v>
      </c>
      <c r="K43">
        <v>1772</v>
      </c>
    </row>
    <row r="44" spans="1:11" x14ac:dyDescent="0.35">
      <c r="A44" t="s">
        <v>9</v>
      </c>
      <c r="B44">
        <v>1291.3</v>
      </c>
      <c r="C44">
        <v>865.1</v>
      </c>
      <c r="D44">
        <v>830.4</v>
      </c>
      <c r="E44">
        <v>854.9</v>
      </c>
      <c r="F44">
        <v>1096.0999999999999</v>
      </c>
      <c r="G44">
        <v>892.8</v>
      </c>
      <c r="H44">
        <v>1602.5</v>
      </c>
      <c r="I44">
        <v>2707.4</v>
      </c>
      <c r="J44">
        <v>3208</v>
      </c>
      <c r="K44">
        <v>2156.8000000000002</v>
      </c>
    </row>
    <row r="45" spans="1:11" x14ac:dyDescent="0.35">
      <c r="A45" t="s">
        <v>65</v>
      </c>
      <c r="B45">
        <v>19950.2</v>
      </c>
      <c r="C45">
        <v>23818.6</v>
      </c>
      <c r="D45">
        <v>24510</v>
      </c>
      <c r="E45">
        <v>19690.900000000001</v>
      </c>
      <c r="F45">
        <v>21341.3</v>
      </c>
      <c r="G45">
        <v>32760.6</v>
      </c>
      <c r="H45">
        <v>28434.2</v>
      </c>
      <c r="I45">
        <v>26515.599999999999</v>
      </c>
      <c r="J45">
        <v>22548.2</v>
      </c>
      <c r="K45">
        <v>34596.400000000001</v>
      </c>
    </row>
    <row r="46" spans="1:11" x14ac:dyDescent="0.35">
      <c r="A46" t="s">
        <v>14</v>
      </c>
      <c r="B46">
        <v>46.23</v>
      </c>
      <c r="C46">
        <v>45.15</v>
      </c>
      <c r="D46">
        <v>39.700000000000003</v>
      </c>
      <c r="E46">
        <v>36.97</v>
      </c>
      <c r="F46">
        <v>104.78</v>
      </c>
      <c r="G46">
        <v>43.79</v>
      </c>
      <c r="H46">
        <v>42.85</v>
      </c>
      <c r="I46">
        <v>67.86</v>
      </c>
      <c r="J46">
        <v>67.09</v>
      </c>
      <c r="K46">
        <v>63.99</v>
      </c>
    </row>
    <row r="47" spans="1:11" x14ac:dyDescent="0.35">
      <c r="A47" t="s">
        <v>4</v>
      </c>
      <c r="B47">
        <v>51.4</v>
      </c>
      <c r="C47">
        <v>36.299999999999997</v>
      </c>
      <c r="D47">
        <v>162.1</v>
      </c>
      <c r="E47">
        <v>182.4</v>
      </c>
      <c r="F47">
        <v>259.89999999999998</v>
      </c>
      <c r="G47">
        <v>174.2</v>
      </c>
      <c r="H47">
        <v>86.8</v>
      </c>
      <c r="I47">
        <v>181.9</v>
      </c>
      <c r="J47">
        <v>457.7</v>
      </c>
      <c r="K47">
        <v>801.2</v>
      </c>
    </row>
    <row r="48" spans="1:11" x14ac:dyDescent="0.35">
      <c r="A48" t="s">
        <v>66</v>
      </c>
      <c r="B48">
        <v>7605.3</v>
      </c>
      <c r="C48">
        <v>9362.2000000000007</v>
      </c>
      <c r="D48">
        <v>9371.9</v>
      </c>
      <c r="E48">
        <v>9716.2000000000007</v>
      </c>
      <c r="F48">
        <v>10031.5</v>
      </c>
      <c r="G48">
        <v>10492.6</v>
      </c>
      <c r="H48">
        <v>15013.8</v>
      </c>
      <c r="I48">
        <v>16167.4</v>
      </c>
      <c r="J48">
        <v>18645.8</v>
      </c>
      <c r="K48">
        <v>21170.2</v>
      </c>
    </row>
    <row r="49" spans="1:11" x14ac:dyDescent="0.35">
      <c r="A49" t="s">
        <v>63</v>
      </c>
      <c r="B49">
        <v>3539.5</v>
      </c>
      <c r="C49">
        <v>4302.7</v>
      </c>
      <c r="D49">
        <v>3425.3</v>
      </c>
      <c r="E49">
        <v>3303.2</v>
      </c>
      <c r="F49">
        <v>4399.7</v>
      </c>
      <c r="G49">
        <v>3892.3</v>
      </c>
      <c r="H49">
        <v>2934</v>
      </c>
      <c r="I49">
        <v>4706.8</v>
      </c>
      <c r="J49">
        <v>5834.5</v>
      </c>
      <c r="K49">
        <v>7464.8</v>
      </c>
    </row>
    <row r="98" spans="1:11" x14ac:dyDescent="0.35">
      <c r="A98" s="30" t="s">
        <v>38</v>
      </c>
      <c r="B98" s="30">
        <v>1642.0999999999985</v>
      </c>
      <c r="C98" s="30">
        <v>1346.2999999999975</v>
      </c>
      <c r="D98" s="30">
        <v>1242.5</v>
      </c>
      <c r="E98" s="30">
        <v>1090.7999999999993</v>
      </c>
      <c r="F98" s="30">
        <v>3165.8999999999996</v>
      </c>
      <c r="G98" s="30">
        <v>1758.1000000000004</v>
      </c>
      <c r="H98" s="30">
        <v>2137.0999999999985</v>
      </c>
      <c r="I98" s="30">
        <v>2274.2000000000007</v>
      </c>
      <c r="J98" s="30">
        <v>2436.2999999999993</v>
      </c>
      <c r="K98" s="30">
        <v>2797.7000000000007</v>
      </c>
    </row>
    <row r="99" spans="1:11" ht="16.5" x14ac:dyDescent="0.35">
      <c r="A99" s="31" t="s">
        <v>34</v>
      </c>
      <c r="B99" s="30">
        <v>17102</v>
      </c>
      <c r="C99" s="30">
        <v>22290.9</v>
      </c>
      <c r="D99" s="30">
        <v>27793.399999999998</v>
      </c>
      <c r="E99" s="30">
        <v>29085.100000000006</v>
      </c>
      <c r="F99" s="30">
        <v>25747.9</v>
      </c>
      <c r="G99" s="30">
        <v>18836.900000000001</v>
      </c>
      <c r="H99" s="30">
        <v>36482.800000000003</v>
      </c>
      <c r="I99" s="30">
        <v>46835.399999999994</v>
      </c>
      <c r="J99" s="30">
        <v>56048.200000000004</v>
      </c>
      <c r="K99" s="30">
        <v>53585.000000000007</v>
      </c>
    </row>
    <row r="100" spans="1:11" ht="16.5" x14ac:dyDescent="0.35">
      <c r="A100" s="31" t="s">
        <v>32</v>
      </c>
      <c r="B100" s="30">
        <v>10546.400000000001</v>
      </c>
      <c r="C100" s="30">
        <v>13116.199999999997</v>
      </c>
      <c r="D100" s="30">
        <v>15104.5</v>
      </c>
      <c r="E100" s="30">
        <v>8761.8000000000029</v>
      </c>
      <c r="F100" s="30">
        <v>9815</v>
      </c>
      <c r="G100" s="30">
        <v>20994.399999999998</v>
      </c>
      <c r="H100" s="30">
        <v>14288.5</v>
      </c>
      <c r="I100" s="30">
        <v>9324.5</v>
      </c>
      <c r="J100" s="30">
        <v>4322.5</v>
      </c>
      <c r="K100" s="30">
        <v>15525.100000000002</v>
      </c>
    </row>
    <row r="101" spans="1:11" x14ac:dyDescent="0.35">
      <c r="A101" s="32" t="s">
        <v>18</v>
      </c>
      <c r="B101" s="30">
        <v>11131.510000000002</v>
      </c>
      <c r="C101" s="30">
        <v>8524.0799999999981</v>
      </c>
      <c r="D101" s="30">
        <v>6118.8999999999969</v>
      </c>
      <c r="E101" s="30">
        <v>5938.1200000000017</v>
      </c>
      <c r="F101" s="30">
        <v>6615.4899999999989</v>
      </c>
      <c r="G101" s="30">
        <v>6897.96</v>
      </c>
      <c r="H101" s="30">
        <v>9198.57</v>
      </c>
      <c r="I101" s="30">
        <v>10295.519999999997</v>
      </c>
      <c r="J101" s="30">
        <v>9407.8400000000038</v>
      </c>
      <c r="K101" s="30">
        <v>10584.260000000002</v>
      </c>
    </row>
    <row r="102" spans="1:11" ht="16.5" x14ac:dyDescent="0.35">
      <c r="A102" s="31" t="s">
        <v>40</v>
      </c>
      <c r="B102" s="30">
        <f t="shared" ref="B102:K102" si="0">B28-SUM(B26+B27)</f>
        <v>-22665.599999999999</v>
      </c>
      <c r="C102" s="30">
        <f t="shared" si="0"/>
        <v>-30574.200000000004</v>
      </c>
      <c r="D102" s="30">
        <f t="shared" si="0"/>
        <v>-35951.299999999996</v>
      </c>
      <c r="E102" s="30">
        <f t="shared" si="0"/>
        <v>-41162.1</v>
      </c>
      <c r="F102" s="30">
        <f t="shared" si="0"/>
        <v>-38983.300000000003</v>
      </c>
      <c r="G102" s="30">
        <f t="shared" si="0"/>
        <v>-44385</v>
      </c>
      <c r="H102" s="30">
        <f t="shared" si="0"/>
        <v>-52744.3</v>
      </c>
      <c r="I102" s="30">
        <f t="shared" si="0"/>
        <v>-57927.7</v>
      </c>
      <c r="J102" s="30">
        <f t="shared" si="0"/>
        <v>-61822.000000000007</v>
      </c>
      <c r="K102" s="30">
        <f t="shared" si="0"/>
        <v>-67473.400000000009</v>
      </c>
    </row>
    <row r="103" spans="1:11" ht="16.5" x14ac:dyDescent="0.35">
      <c r="A103" s="31" t="s">
        <v>86</v>
      </c>
      <c r="B103" s="31"/>
      <c r="C103" s="32">
        <v>2812.5000000000009</v>
      </c>
      <c r="D103" s="32">
        <v>-2502</v>
      </c>
      <c r="E103" s="32">
        <v>-2511.1000000000004</v>
      </c>
      <c r="F103" s="32">
        <v>-3026.5999999999967</v>
      </c>
      <c r="G103" s="32">
        <v>9280</v>
      </c>
      <c r="H103" s="32">
        <v>-8145.2999999999956</v>
      </c>
      <c r="I103" s="32">
        <v>-7254.5999999999985</v>
      </c>
      <c r="J103" s="32">
        <v>-7318.6</v>
      </c>
      <c r="K103" s="32">
        <v>7901.8999999999978</v>
      </c>
    </row>
    <row r="104" spans="1:11" x14ac:dyDescent="0.35">
      <c r="A104" s="30" t="s">
        <v>87</v>
      </c>
      <c r="B104" s="32">
        <v>1303.4000000000005</v>
      </c>
      <c r="C104" s="32">
        <v>127.5</v>
      </c>
      <c r="D104" s="32">
        <v>170.20000000000027</v>
      </c>
      <c r="E104" s="32">
        <v>-44.199999999999818</v>
      </c>
      <c r="F104" s="32">
        <v>1545.1999999999989</v>
      </c>
      <c r="G104" s="32">
        <v>-1682.0999999999995</v>
      </c>
      <c r="H104" s="32">
        <v>-200.89999999999964</v>
      </c>
      <c r="I104" s="32">
        <v>-297.69999999999891</v>
      </c>
      <c r="J104" s="32">
        <v>-280.99999999999818</v>
      </c>
      <c r="K104">
        <v>-525.10000000000036</v>
      </c>
    </row>
    <row r="105" spans="1:11" x14ac:dyDescent="0.35">
      <c r="A105" s="30" t="s">
        <v>89</v>
      </c>
      <c r="B105" s="30">
        <v>0</v>
      </c>
      <c r="C105" s="30">
        <v>0</v>
      </c>
      <c r="D105" s="30">
        <v>0</v>
      </c>
      <c r="E105" s="30">
        <v>0</v>
      </c>
      <c r="F105" s="30">
        <v>0</v>
      </c>
      <c r="G105" s="30">
        <v>0</v>
      </c>
      <c r="H105" s="30">
        <v>0</v>
      </c>
      <c r="I105" s="30">
        <v>0</v>
      </c>
      <c r="J105" s="30">
        <v>-642.60000000000582</v>
      </c>
      <c r="K105" s="30">
        <v>128.50000000000091</v>
      </c>
    </row>
    <row r="106" spans="1:11" x14ac:dyDescent="0.35">
      <c r="A106" s="30" t="s">
        <v>83</v>
      </c>
      <c r="B106" s="33">
        <v>-1105.1000000000001</v>
      </c>
      <c r="C106" s="33">
        <v>109.19999999999999</v>
      </c>
      <c r="D106" s="33">
        <v>-256.60000000000002</v>
      </c>
      <c r="E106" s="33">
        <v>590.5</v>
      </c>
      <c r="F106" s="33">
        <v>-780.4</v>
      </c>
      <c r="G106" s="33">
        <v>-15.099999999999994</v>
      </c>
      <c r="H106" s="33">
        <v>287.60000000000002</v>
      </c>
      <c r="I106" s="33">
        <v>34.600000000000009</v>
      </c>
      <c r="J106" s="33">
        <v>48.8</v>
      </c>
      <c r="K106" s="33">
        <v>-45.8</v>
      </c>
    </row>
    <row r="108" spans="1:11" x14ac:dyDescent="0.35">
      <c r="A108" s="4" t="s">
        <v>12</v>
      </c>
      <c r="B108" s="4">
        <v>43877.4</v>
      </c>
      <c r="C108" s="4">
        <v>52497.599999999999</v>
      </c>
      <c r="D108" s="4">
        <v>61723.199999999997</v>
      </c>
      <c r="E108" s="4">
        <v>58577.2</v>
      </c>
      <c r="F108" s="4">
        <v>56961.7</v>
      </c>
      <c r="G108" s="4">
        <v>62456.5</v>
      </c>
      <c r="H108" s="4">
        <v>76491.199999999997</v>
      </c>
      <c r="I108" s="4">
        <v>86877.3</v>
      </c>
      <c r="J108" s="4">
        <v>94762.3</v>
      </c>
      <c r="K108" s="4">
        <v>106519.5</v>
      </c>
    </row>
    <row r="109" spans="1:11" x14ac:dyDescent="0.35">
      <c r="A109" s="4" t="s">
        <v>13</v>
      </c>
      <c r="B109" s="4">
        <v>43877.4</v>
      </c>
      <c r="C109" s="4">
        <v>52497.599999999999</v>
      </c>
      <c r="D109" s="4">
        <v>61723.199999999997</v>
      </c>
      <c r="E109" s="4">
        <v>58577.2</v>
      </c>
      <c r="F109" s="4">
        <v>56961.7</v>
      </c>
      <c r="G109" s="4">
        <v>62456.5</v>
      </c>
      <c r="H109" s="4">
        <v>76491.199999999997</v>
      </c>
      <c r="I109" s="4">
        <v>86877.3</v>
      </c>
      <c r="J109" s="4">
        <v>94762.3</v>
      </c>
      <c r="K109" s="4">
        <v>106519.5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34EE5-AB1F-4CCC-80A0-132D74BDBCB9}">
  <dimension ref="A1:N27"/>
  <sheetViews>
    <sheetView workbookViewId="0">
      <selection activeCell="L13" sqref="L13"/>
    </sheetView>
  </sheetViews>
  <sheetFormatPr defaultRowHeight="14.5" x14ac:dyDescent="0.35"/>
  <cols>
    <col min="1" max="1" width="31.1796875" customWidth="1"/>
    <col min="2" max="2" width="12.6328125" customWidth="1"/>
    <col min="3" max="5" width="8.81640625" bestFit="1" customWidth="1"/>
    <col min="6" max="6" width="8.90625" bestFit="1" customWidth="1"/>
    <col min="7" max="10" width="8.81640625" bestFit="1" customWidth="1"/>
    <col min="11" max="11" width="12.54296875" customWidth="1"/>
    <col min="12" max="12" width="25.81640625" style="15" customWidth="1"/>
    <col min="13" max="13" width="48" customWidth="1"/>
  </cols>
  <sheetData>
    <row r="1" spans="1:14" x14ac:dyDescent="0.35">
      <c r="L1"/>
    </row>
    <row r="2" spans="1:14" ht="15" thickBot="1" x14ac:dyDescent="0.4">
      <c r="L2"/>
    </row>
    <row r="3" spans="1:14" ht="24" customHeight="1" thickBot="1" x14ac:dyDescent="0.4">
      <c r="A3" s="6" t="s">
        <v>16</v>
      </c>
      <c r="B3" s="2">
        <v>2015</v>
      </c>
      <c r="C3" s="2">
        <v>2016</v>
      </c>
      <c r="D3" s="2">
        <v>2017</v>
      </c>
      <c r="E3" s="2">
        <v>2018</v>
      </c>
      <c r="F3" s="2">
        <v>2019</v>
      </c>
      <c r="G3" s="2">
        <v>2020</v>
      </c>
      <c r="H3" s="2">
        <v>2021</v>
      </c>
      <c r="I3" s="2">
        <v>2022</v>
      </c>
      <c r="J3" s="2">
        <v>2023</v>
      </c>
      <c r="K3" s="2">
        <v>2024</v>
      </c>
      <c r="L3" s="2">
        <v>2025</v>
      </c>
    </row>
    <row r="4" spans="1:14" ht="24" customHeight="1" thickBot="1" x14ac:dyDescent="0.4">
      <c r="A4" s="10"/>
      <c r="B4" s="2">
        <v>1</v>
      </c>
      <c r="C4" s="8">
        <v>2</v>
      </c>
      <c r="D4" s="2">
        <v>3</v>
      </c>
      <c r="E4" s="8">
        <v>4</v>
      </c>
      <c r="F4" s="2">
        <v>5</v>
      </c>
      <c r="G4" s="8">
        <v>6</v>
      </c>
      <c r="H4" s="2">
        <v>7</v>
      </c>
      <c r="I4" s="8">
        <v>8</v>
      </c>
      <c r="J4" s="2">
        <v>9</v>
      </c>
      <c r="K4" s="8">
        <v>10</v>
      </c>
      <c r="L4" s="13">
        <v>11</v>
      </c>
    </row>
    <row r="5" spans="1:14" ht="24" customHeight="1" thickBot="1" x14ac:dyDescent="0.4">
      <c r="A5" s="7" t="s">
        <v>17</v>
      </c>
      <c r="B5" s="5" cm="1">
        <f t="array" ref="B5:K5">IFERROR(VLOOKUP($A5, INPUT!$A$2:$K$70, MATCH($B$3:$K$3, INPUT!$A$2:$K$2, 1), FALSE),"")</f>
        <v>54245.4</v>
      </c>
      <c r="C5" s="5">
        <v>53508.2</v>
      </c>
      <c r="D5" s="5">
        <v>52984.2</v>
      </c>
      <c r="E5" s="5">
        <v>55456.6</v>
      </c>
      <c r="F5" s="5">
        <v>62329.9</v>
      </c>
      <c r="G5" s="5">
        <v>62659.3</v>
      </c>
      <c r="H5" s="5">
        <v>71552.7</v>
      </c>
      <c r="I5" s="5">
        <v>81928.2</v>
      </c>
      <c r="J5" s="5">
        <v>86950.1</v>
      </c>
      <c r="K5" s="5">
        <v>91449</v>
      </c>
      <c r="L5" s="14">
        <f>_xlfn.FORECAST.LINEAR(L4, B5:K5, B$4:K$4)</f>
        <v>92715.140000000014</v>
      </c>
      <c r="M5" t="str">
        <f ca="1">_xlfn.FORMULATEXT(L5)</f>
        <v>=FORECAST.LINEAR(L4, B5:K5, B$4:K$4)</v>
      </c>
    </row>
    <row r="6" spans="1:14" ht="36" customHeight="1" thickBot="1" x14ac:dyDescent="0.4">
      <c r="A6" s="7" t="s">
        <v>24</v>
      </c>
      <c r="B6" s="5" cm="1">
        <f t="array" ref="B6:K6">IFERROR(VLOOKUP($A6, INPUT!$A$2:$K$70, MATCH($B$3:$K$3, INPUT!$A$2:$K$2, 1), FALSE),"")</f>
        <v>32547.29</v>
      </c>
      <c r="C6" s="5">
        <v>32030.02</v>
      </c>
      <c r="D6" s="5">
        <v>32636.2</v>
      </c>
      <c r="E6" s="5">
        <v>34331.379999999997</v>
      </c>
      <c r="F6" s="5">
        <v>38404.910000000003</v>
      </c>
      <c r="G6" s="5">
        <v>38719.94</v>
      </c>
      <c r="H6" s="5">
        <v>44015.53</v>
      </c>
      <c r="I6" s="5">
        <v>51510.68</v>
      </c>
      <c r="J6" s="5">
        <v>56989.86</v>
      </c>
      <c r="K6" s="5">
        <v>58304.24</v>
      </c>
      <c r="L6" s="16" cm="1">
        <f t="array" ref="L6">AVERAGE(B6:K6/B5:K5)*L5</f>
        <v>57526.027253028471</v>
      </c>
      <c r="M6" t="str">
        <f ca="1">_xlfn.FORMULATEXT(L6)</f>
        <v>=AVERAGE(B6:K6/B5:K5)*L5</v>
      </c>
    </row>
    <row r="7" spans="1:14" ht="24" customHeight="1" thickBot="1" x14ac:dyDescent="0.4">
      <c r="A7" s="9" t="s">
        <v>25</v>
      </c>
      <c r="B7" s="11">
        <f>B5-B6</f>
        <v>21698.11</v>
      </c>
      <c r="C7" s="11">
        <f t="shared" ref="C7:K7" si="0">C5-C6</f>
        <v>21478.179999999997</v>
      </c>
      <c r="D7" s="11">
        <f t="shared" si="0"/>
        <v>20347.999999999996</v>
      </c>
      <c r="E7" s="11">
        <f t="shared" si="0"/>
        <v>21125.22</v>
      </c>
      <c r="F7" s="11">
        <f t="shared" si="0"/>
        <v>23924.989999999998</v>
      </c>
      <c r="G7" s="11">
        <f t="shared" si="0"/>
        <v>23939.360000000001</v>
      </c>
      <c r="H7" s="11">
        <f t="shared" si="0"/>
        <v>27537.17</v>
      </c>
      <c r="I7" s="11">
        <f t="shared" si="0"/>
        <v>30417.519999999997</v>
      </c>
      <c r="J7" s="11">
        <f t="shared" si="0"/>
        <v>29960.240000000005</v>
      </c>
      <c r="K7" s="11">
        <f t="shared" si="0"/>
        <v>33144.76</v>
      </c>
      <c r="L7" s="14">
        <f>L5-L6</f>
        <v>35189.112746971543</v>
      </c>
      <c r="M7" t="str">
        <f t="shared" ref="M7:M19" ca="1" si="1">_xlfn.FORMULATEXT(L7)</f>
        <v>=L5-L6</v>
      </c>
    </row>
    <row r="8" spans="1:14" ht="24" customHeight="1" thickBot="1" x14ac:dyDescent="0.4">
      <c r="A8" s="7" t="s">
        <v>18</v>
      </c>
      <c r="B8" s="5" t="str" cm="1">
        <f t="array" ref="B8">IFERROR(VLOOKUP($A8, INPUT!$A$2:$K$70, MATCH($B$3:$K$3, INPUT!$A$2:$K$2, 1), FALSE),"")</f>
        <v/>
      </c>
      <c r="C8" s="5"/>
      <c r="D8" s="5"/>
      <c r="E8" s="5"/>
      <c r="F8" s="5"/>
      <c r="G8" s="5"/>
      <c r="H8" s="5"/>
      <c r="I8" s="5"/>
      <c r="J8" s="5"/>
      <c r="K8" s="5"/>
      <c r="L8" s="16" t="e" cm="1">
        <f t="array" ref="L8">AVERAGE(B8:K8/B5:K5)*L5</f>
        <v>#VALUE!</v>
      </c>
      <c r="M8" t="str">
        <f t="shared" ca="1" si="1"/>
        <v>=AVERAGE(B8:K8/B5:K5)*L5</v>
      </c>
    </row>
    <row r="9" spans="1:14" ht="24" customHeight="1" thickBot="1" x14ac:dyDescent="0.4">
      <c r="A9" s="7" t="s">
        <v>19</v>
      </c>
      <c r="B9" s="5" cm="1">
        <f t="array" ref="B9:K9">IFERROR(VLOOKUP($A9, INPUT!$A$2:$K$70, MATCH($B$3:$K$3, INPUT!$A$2:$K$2, 1), FALSE),"")</f>
        <v>223.1</v>
      </c>
      <c r="C9" s="5">
        <v>265.8</v>
      </c>
      <c r="D9" s="5">
        <v>302.7</v>
      </c>
      <c r="E9" s="5">
        <v>320.39999999999998</v>
      </c>
      <c r="F9" s="5">
        <v>372.9</v>
      </c>
      <c r="G9" s="12">
        <v>389.9</v>
      </c>
      <c r="H9" s="5">
        <v>426.9</v>
      </c>
      <c r="I9" s="5">
        <v>417.2</v>
      </c>
      <c r="J9" s="5">
        <v>435</v>
      </c>
      <c r="K9" s="5">
        <v>442.3</v>
      </c>
      <c r="L9" s="16" cm="1">
        <f t="array" ref="L9">AVERAGE(B9:K9/B5:K5)*L5</f>
        <v>497.63861109430604</v>
      </c>
      <c r="M9" t="str">
        <f t="shared" ca="1" si="1"/>
        <v>=AVERAGE(B9:K9/B5:K5)*L5</v>
      </c>
    </row>
    <row r="10" spans="1:14" ht="24" customHeight="1" thickBot="1" x14ac:dyDescent="0.4">
      <c r="A10" s="9" t="s">
        <v>26</v>
      </c>
      <c r="B10" s="11">
        <f>B7-SUM(B8:B9)</f>
        <v>21475.010000000002</v>
      </c>
      <c r="C10" s="11">
        <f t="shared" ref="C10:L10" si="2">C7-SUM(C8:C9)</f>
        <v>21212.379999999997</v>
      </c>
      <c r="D10" s="11">
        <f t="shared" si="2"/>
        <v>20045.299999999996</v>
      </c>
      <c r="E10" s="11">
        <f t="shared" si="2"/>
        <v>20804.82</v>
      </c>
      <c r="F10" s="11">
        <f t="shared" si="2"/>
        <v>23552.089999999997</v>
      </c>
      <c r="G10" s="11">
        <f t="shared" si="2"/>
        <v>23549.46</v>
      </c>
      <c r="H10" s="11">
        <f t="shared" si="2"/>
        <v>27110.269999999997</v>
      </c>
      <c r="I10" s="11">
        <f t="shared" si="2"/>
        <v>30000.319999999996</v>
      </c>
      <c r="J10" s="11">
        <f t="shared" si="2"/>
        <v>29525.240000000005</v>
      </c>
      <c r="K10" s="11">
        <f t="shared" si="2"/>
        <v>32702.460000000003</v>
      </c>
      <c r="L10" s="11" t="e">
        <f t="shared" si="2"/>
        <v>#VALUE!</v>
      </c>
      <c r="M10" t="str">
        <f t="shared" ca="1" si="1"/>
        <v>=L7-SUM(L8:L9)</v>
      </c>
    </row>
    <row r="11" spans="1:14" ht="24" customHeight="1" thickBot="1" x14ac:dyDescent="0.4">
      <c r="A11" s="7" t="s">
        <v>20</v>
      </c>
      <c r="B11" s="5" cm="1">
        <f t="array" ref="B11:K11">IFERROR(VLOOKUP($A11, INPUT!$A$2:$K$70, MATCH($B$3:$K$3, INPUT!$A$2:$K$2, 1), FALSE),"")</f>
        <v>647.20000000000005</v>
      </c>
      <c r="C11" s="5">
        <v>713.9</v>
      </c>
      <c r="D11" s="5">
        <v>735.9</v>
      </c>
      <c r="E11" s="5">
        <v>1000.3</v>
      </c>
      <c r="F11" s="5">
        <v>1059.9000000000001</v>
      </c>
      <c r="G11" s="5">
        <v>1268.5999999999999</v>
      </c>
      <c r="H11" s="5">
        <v>1400.8</v>
      </c>
      <c r="I11" s="5">
        <v>1570.6</v>
      </c>
      <c r="J11" s="5">
        <v>1842.3</v>
      </c>
      <c r="K11" s="5">
        <v>2046</v>
      </c>
      <c r="L11" s="14">
        <f>PPE!M8</f>
        <v>2374.2368163205615</v>
      </c>
      <c r="M11" t="str">
        <f t="shared" ca="1" si="1"/>
        <v>=PPE!M8</v>
      </c>
    </row>
    <row r="12" spans="1:14" ht="24" customHeight="1" thickBot="1" x14ac:dyDescent="0.4">
      <c r="A12" s="9" t="s">
        <v>27</v>
      </c>
      <c r="B12" s="11">
        <f>B10-B11</f>
        <v>20827.810000000001</v>
      </c>
      <c r="C12" s="11">
        <f t="shared" ref="C12:K12" si="3">C10-C11</f>
        <v>20498.479999999996</v>
      </c>
      <c r="D12" s="11">
        <f t="shared" si="3"/>
        <v>19309.399999999994</v>
      </c>
      <c r="E12" s="11">
        <f t="shared" si="3"/>
        <v>19804.52</v>
      </c>
      <c r="F12" s="11">
        <f t="shared" si="3"/>
        <v>22492.189999999995</v>
      </c>
      <c r="G12" s="11">
        <f t="shared" si="3"/>
        <v>22280.86</v>
      </c>
      <c r="H12" s="11">
        <f t="shared" si="3"/>
        <v>25709.469999999998</v>
      </c>
      <c r="I12" s="11">
        <f t="shared" si="3"/>
        <v>28429.719999999998</v>
      </c>
      <c r="J12" s="11">
        <f t="shared" si="3"/>
        <v>27682.940000000006</v>
      </c>
      <c r="K12" s="11">
        <f t="shared" si="3"/>
        <v>30656.460000000003</v>
      </c>
      <c r="L12" s="14" t="e">
        <f>L10-L11</f>
        <v>#VALUE!</v>
      </c>
      <c r="M12" t="str">
        <f t="shared" ca="1" si="1"/>
        <v>=L10-L11</v>
      </c>
    </row>
    <row r="13" spans="1:14" ht="24" customHeight="1" thickBot="1" x14ac:dyDescent="0.4">
      <c r="A13" s="7" t="s">
        <v>21</v>
      </c>
      <c r="B13" s="5" cm="1">
        <f t="array" ref="B13:K13">IFERROR(VLOOKUP($A13, INPUT!$A$2:$K$70, MATCH($B$3:$K$3, INPUT!$A$2:$K$2, 1), FALSE),"")</f>
        <v>51.4</v>
      </c>
      <c r="C13" s="5">
        <v>36.299999999999997</v>
      </c>
      <c r="D13" s="5">
        <v>162.1</v>
      </c>
      <c r="E13" s="5">
        <v>182.4</v>
      </c>
      <c r="F13" s="5">
        <v>259.89999999999998</v>
      </c>
      <c r="G13" s="5">
        <v>174.2</v>
      </c>
      <c r="H13" s="5">
        <v>86.8</v>
      </c>
      <c r="I13" s="5">
        <v>181.9</v>
      </c>
      <c r="J13" s="5">
        <v>457.7</v>
      </c>
      <c r="K13" s="5">
        <v>801.2</v>
      </c>
      <c r="L13" s="19">
        <f>Debt!L14</f>
        <v>927.06578564823474</v>
      </c>
      <c r="M13" t="str">
        <f t="shared" ca="1" si="1"/>
        <v>=Debt!L14</v>
      </c>
    </row>
    <row r="14" spans="1:14" ht="24" customHeight="1" thickBot="1" x14ac:dyDescent="0.4">
      <c r="A14" s="7" t="s">
        <v>22</v>
      </c>
      <c r="B14" s="5" cm="1">
        <f t="array" ref="B14:K14">IFERROR(VLOOKUP($A14, INPUT!$A$2:$K$70, MATCH($B$3:$K$3, INPUT!$A$2:$K$2, 1), FALSE),"")</f>
        <v>27.8</v>
      </c>
      <c r="C14" s="5">
        <v>25.6</v>
      </c>
      <c r="D14" s="5">
        <v>63.2</v>
      </c>
      <c r="E14" s="5">
        <v>465.3</v>
      </c>
      <c r="F14" s="5">
        <v>720.9</v>
      </c>
      <c r="G14" s="5">
        <v>712.1</v>
      </c>
      <c r="H14" s="5">
        <v>455.9</v>
      </c>
      <c r="I14" s="5">
        <v>167.5</v>
      </c>
      <c r="J14" s="5">
        <v>153.80000000000001</v>
      </c>
      <c r="K14" s="17">
        <v>259.10000000000002</v>
      </c>
      <c r="L14" s="21">
        <f>K14</f>
        <v>259.10000000000002</v>
      </c>
      <c r="M14" t="str">
        <f t="shared" ca="1" si="1"/>
        <v>=K14</v>
      </c>
      <c r="N14" s="18">
        <f>_xlfn.FORECAST.LINEAR(L4, B14:K14, B$4:K$4)</f>
        <v>420.57333333333338</v>
      </c>
    </row>
    <row r="15" spans="1:14" ht="24" customHeight="1" thickBot="1" x14ac:dyDescent="0.4">
      <c r="A15" s="9" t="s">
        <v>28</v>
      </c>
      <c r="B15" s="11">
        <f>B12-B13+B14</f>
        <v>20804.21</v>
      </c>
      <c r="C15" s="11">
        <f t="shared" ref="C15:K15" si="4">C12-C13+C14</f>
        <v>20487.779999999995</v>
      </c>
      <c r="D15" s="11">
        <f t="shared" si="4"/>
        <v>19210.499999999996</v>
      </c>
      <c r="E15" s="11">
        <f t="shared" si="4"/>
        <v>20087.419999999998</v>
      </c>
      <c r="F15" s="11">
        <f t="shared" si="4"/>
        <v>22953.189999999995</v>
      </c>
      <c r="G15" s="11">
        <f t="shared" si="4"/>
        <v>22818.76</v>
      </c>
      <c r="H15" s="11">
        <f t="shared" si="4"/>
        <v>26078.57</v>
      </c>
      <c r="I15" s="11">
        <f t="shared" si="4"/>
        <v>28415.319999999996</v>
      </c>
      <c r="J15" s="11">
        <f t="shared" si="4"/>
        <v>27379.040000000005</v>
      </c>
      <c r="K15" s="11">
        <f t="shared" si="4"/>
        <v>30114.36</v>
      </c>
      <c r="L15" s="20" t="e">
        <f>L12-L13+L14</f>
        <v>#VALUE!</v>
      </c>
      <c r="M15" t="str">
        <f t="shared" ca="1" si="1"/>
        <v>=L12-L13+L14</v>
      </c>
    </row>
    <row r="16" spans="1:14" ht="24" customHeight="1" thickBot="1" x14ac:dyDescent="0.4">
      <c r="A16" s="7" t="s">
        <v>23</v>
      </c>
      <c r="B16" s="5" cm="1">
        <f t="array" ref="B16:K16">IFERROR(VLOOKUP($A16, INPUT!$A$2:$K$70, MATCH($B$3:$K$3, INPUT!$A$2:$K$2, 1), FALSE),"")</f>
        <v>2046.9</v>
      </c>
      <c r="C16" s="5">
        <v>2591.1</v>
      </c>
      <c r="D16" s="5">
        <v>3108.3</v>
      </c>
      <c r="E16" s="5">
        <v>3428.8</v>
      </c>
      <c r="F16" s="5">
        <v>3694.8</v>
      </c>
      <c r="G16" s="5">
        <v>4217.3</v>
      </c>
      <c r="H16" s="5">
        <v>3061.1</v>
      </c>
      <c r="I16" s="5">
        <v>3790.5</v>
      </c>
      <c r="J16" s="5">
        <v>4238.6000000000004</v>
      </c>
      <c r="K16" s="5">
        <v>4438</v>
      </c>
      <c r="L16" s="14" t="e">
        <f>L15*L23</f>
        <v>#VALUE!</v>
      </c>
      <c r="M16" t="str">
        <f t="shared" ca="1" si="1"/>
        <v>=L15*L23</v>
      </c>
    </row>
    <row r="17" spans="1:13" ht="24" customHeight="1" thickBot="1" x14ac:dyDescent="0.4">
      <c r="A17" s="9" t="s">
        <v>29</v>
      </c>
      <c r="B17" s="11">
        <f>B15-B16</f>
        <v>18757.309999999998</v>
      </c>
      <c r="C17" s="11">
        <f t="shared" ref="C17:K17" si="5">C15-C16</f>
        <v>17896.679999999997</v>
      </c>
      <c r="D17" s="11">
        <f t="shared" si="5"/>
        <v>16102.199999999997</v>
      </c>
      <c r="E17" s="11">
        <f t="shared" si="5"/>
        <v>16658.62</v>
      </c>
      <c r="F17" s="11">
        <f t="shared" si="5"/>
        <v>19258.389999999996</v>
      </c>
      <c r="G17" s="11">
        <f t="shared" si="5"/>
        <v>18601.46</v>
      </c>
      <c r="H17" s="11">
        <f t="shared" si="5"/>
        <v>23017.47</v>
      </c>
      <c r="I17" s="11">
        <f t="shared" si="5"/>
        <v>24624.819999999996</v>
      </c>
      <c r="J17" s="11">
        <f t="shared" si="5"/>
        <v>23140.440000000002</v>
      </c>
      <c r="K17" s="11">
        <f t="shared" si="5"/>
        <v>25676.36</v>
      </c>
      <c r="L17" s="14" t="e">
        <f>L15-L16</f>
        <v>#VALUE!</v>
      </c>
      <c r="M17" t="str">
        <f t="shared" ca="1" si="1"/>
        <v>=L15-L16</v>
      </c>
    </row>
    <row r="18" spans="1:13" ht="16" x14ac:dyDescent="0.35">
      <c r="A18" s="26" t="s">
        <v>72</v>
      </c>
      <c r="B18" s="27">
        <f>B17*B26</f>
        <v>8671.5044129999987</v>
      </c>
      <c r="C18" s="27">
        <f t="shared" ref="C18:K18" si="6">C17*C26</f>
        <v>8080.3510199999992</v>
      </c>
      <c r="D18" s="27">
        <f t="shared" si="6"/>
        <v>6392.5733999999993</v>
      </c>
      <c r="E18" s="27">
        <f t="shared" si="6"/>
        <v>6158.6918139999989</v>
      </c>
      <c r="F18" s="27">
        <f t="shared" si="6"/>
        <v>20178.941041999999</v>
      </c>
      <c r="G18" s="27">
        <f t="shared" si="6"/>
        <v>8145.579334</v>
      </c>
      <c r="H18" s="27">
        <f t="shared" si="6"/>
        <v>9862.9858949999998</v>
      </c>
      <c r="I18" s="27">
        <f t="shared" si="6"/>
        <v>16710.402851999996</v>
      </c>
      <c r="J18" s="27">
        <f t="shared" si="6"/>
        <v>15524.921196000003</v>
      </c>
      <c r="K18" s="27">
        <f t="shared" si="6"/>
        <v>16430.302764</v>
      </c>
      <c r="L18" s="15" t="e">
        <f>L17*L26</f>
        <v>#VALUE!</v>
      </c>
      <c r="M18" t="str">
        <f t="shared" ca="1" si="1"/>
        <v>=L17*L26</v>
      </c>
    </row>
    <row r="19" spans="1:13" x14ac:dyDescent="0.35">
      <c r="A19" s="4" t="s">
        <v>73</v>
      </c>
      <c r="B19" s="29">
        <f>B17-B18</f>
        <v>10085.805586999999</v>
      </c>
      <c r="C19" s="29">
        <f t="shared" ref="C19:L19" si="7">C17-C18</f>
        <v>9816.3289799999984</v>
      </c>
      <c r="D19" s="29">
        <f t="shared" si="7"/>
        <v>9709.6265999999978</v>
      </c>
      <c r="E19" s="29">
        <f t="shared" si="7"/>
        <v>10499.928186000001</v>
      </c>
      <c r="F19" s="29">
        <f t="shared" si="7"/>
        <v>-920.55104200000278</v>
      </c>
      <c r="G19" s="29">
        <f t="shared" si="7"/>
        <v>10455.880665999999</v>
      </c>
      <c r="H19" s="29">
        <f t="shared" si="7"/>
        <v>13154.484105000001</v>
      </c>
      <c r="I19" s="29">
        <f t="shared" si="7"/>
        <v>7914.4171480000005</v>
      </c>
      <c r="J19" s="29">
        <f t="shared" si="7"/>
        <v>7615.5188039999994</v>
      </c>
      <c r="K19" s="29">
        <f t="shared" si="7"/>
        <v>9246.0572360000006</v>
      </c>
      <c r="L19" s="29" t="e">
        <f t="shared" si="7"/>
        <v>#VALUE!</v>
      </c>
      <c r="M19" t="str">
        <f t="shared" ca="1" si="1"/>
        <v>=L17-L18</v>
      </c>
    </row>
    <row r="23" spans="1:13" x14ac:dyDescent="0.35">
      <c r="A23" s="1" t="s">
        <v>62</v>
      </c>
      <c r="B23" s="22">
        <f>B16/B15</f>
        <v>9.8388739586843244E-2</v>
      </c>
      <c r="C23" s="22">
        <f t="shared" ref="C23:K23" si="8">C16/C15</f>
        <v>0.1264705107141916</v>
      </c>
      <c r="D23" s="22">
        <f t="shared" si="8"/>
        <v>0.16180213945498559</v>
      </c>
      <c r="E23" s="22">
        <f t="shared" si="8"/>
        <v>0.17069389697631654</v>
      </c>
      <c r="F23" s="22">
        <f t="shared" si="8"/>
        <v>0.16097108942155758</v>
      </c>
      <c r="G23" s="22">
        <f t="shared" si="8"/>
        <v>0.18481722933235639</v>
      </c>
      <c r="H23" s="22">
        <f t="shared" si="8"/>
        <v>0.11737990234894015</v>
      </c>
      <c r="I23" s="22">
        <f t="shared" si="8"/>
        <v>0.13339635098249819</v>
      </c>
      <c r="J23" s="22">
        <f t="shared" si="8"/>
        <v>0.15481185607676529</v>
      </c>
      <c r="K23" s="22">
        <f t="shared" si="8"/>
        <v>0.14737155297339874</v>
      </c>
      <c r="L23" s="22">
        <f>K23</f>
        <v>0.14737155297339874</v>
      </c>
    </row>
    <row r="26" spans="1:13" x14ac:dyDescent="0.35">
      <c r="A26" s="3" t="s">
        <v>14</v>
      </c>
      <c r="B26" s="25">
        <v>0.46229999999999999</v>
      </c>
      <c r="C26" s="25">
        <v>0.45150000000000001</v>
      </c>
      <c r="D26" s="25">
        <v>0.39700000000000002</v>
      </c>
      <c r="E26" s="25">
        <v>0.36969999999999997</v>
      </c>
      <c r="F26" s="25">
        <v>1.0478000000000001</v>
      </c>
      <c r="G26" s="25">
        <v>0.43790000000000001</v>
      </c>
      <c r="H26" s="25">
        <v>0.42849999999999999</v>
      </c>
      <c r="I26" s="25">
        <v>0.67859999999999998</v>
      </c>
      <c r="J26" s="25">
        <v>0.67090000000000005</v>
      </c>
      <c r="K26" s="25">
        <v>0.63990000000000002</v>
      </c>
      <c r="L26" s="28">
        <f>K26</f>
        <v>0.63990000000000002</v>
      </c>
    </row>
    <row r="27" spans="1:13" x14ac:dyDescent="0.35">
      <c r="A27" s="3" t="s">
        <v>15</v>
      </c>
      <c r="B27" s="3">
        <v>3525.4</v>
      </c>
      <c r="C27" s="3">
        <v>4232</v>
      </c>
      <c r="D27" s="3">
        <v>3963.4</v>
      </c>
      <c r="E27" s="3">
        <v>3963.4</v>
      </c>
      <c r="F27" s="3">
        <v>13247.1</v>
      </c>
      <c r="G27" s="3">
        <v>5124.5</v>
      </c>
      <c r="H27" s="3">
        <v>5920.9</v>
      </c>
      <c r="I27" s="3">
        <v>9723.2000000000007</v>
      </c>
      <c r="J27" s="3">
        <v>9213.1</v>
      </c>
      <c r="K27" s="3">
        <v>9657.6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9DC809-0038-4F60-90A1-5F9CD9CB47B4}">
  <dimension ref="A1:N33"/>
  <sheetViews>
    <sheetView topLeftCell="A6" workbookViewId="0">
      <selection activeCell="C2" sqref="C2"/>
    </sheetView>
  </sheetViews>
  <sheetFormatPr defaultRowHeight="14.5" x14ac:dyDescent="0.35"/>
  <cols>
    <col min="1" max="1" width="42.36328125" bestFit="1" customWidth="1"/>
    <col min="12" max="12" width="10.26953125" customWidth="1"/>
    <col min="13" max="13" width="17.26953125" customWidth="1"/>
  </cols>
  <sheetData>
    <row r="1" spans="1:14" x14ac:dyDescent="0.35">
      <c r="A1" s="1" t="s">
        <v>0</v>
      </c>
    </row>
    <row r="2" spans="1:14" x14ac:dyDescent="0.35">
      <c r="A2" s="1" t="s">
        <v>30</v>
      </c>
    </row>
    <row r="3" spans="1:14" ht="17.5" x14ac:dyDescent="0.35">
      <c r="A3" s="46" t="s">
        <v>16</v>
      </c>
      <c r="B3" s="38">
        <v>2015</v>
      </c>
      <c r="C3" s="38">
        <v>2016</v>
      </c>
      <c r="D3" s="38">
        <v>2017</v>
      </c>
      <c r="E3" s="38">
        <v>2018</v>
      </c>
      <c r="F3" s="38">
        <v>2019</v>
      </c>
      <c r="G3" s="38">
        <v>2020</v>
      </c>
      <c r="H3" s="38">
        <v>2021</v>
      </c>
      <c r="I3" s="38">
        <v>2022</v>
      </c>
      <c r="J3" s="38">
        <v>2023</v>
      </c>
      <c r="K3" s="38">
        <v>2024</v>
      </c>
      <c r="L3" s="46">
        <v>2025</v>
      </c>
    </row>
    <row r="4" spans="1:14" ht="17.5" x14ac:dyDescent="0.35">
      <c r="A4" s="46" t="s">
        <v>31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</row>
    <row r="5" spans="1:14" ht="16" x14ac:dyDescent="0.35">
      <c r="A5" s="42" t="s">
        <v>91</v>
      </c>
      <c r="B5" s="7">
        <f t="array" ref="B5:K5">IFERROR(VLOOKUP($A5, INPUT!$A$2:$K$70, MATCH($B$3:$K$3, INPUT!$A$2:$K$2, 1), FALSE),"")</f>
        <v>358.3</v>
      </c>
      <c r="C5" s="7">
        <v>244.1</v>
      </c>
      <c r="D5" s="7">
        <v>-12.5</v>
      </c>
      <c r="E5" s="7">
        <v>578</v>
      </c>
      <c r="F5" s="7">
        <v>-202.4</v>
      </c>
      <c r="G5" s="7">
        <v>-217.5</v>
      </c>
      <c r="H5" s="7">
        <v>70.099999999999994</v>
      </c>
      <c r="I5" s="7">
        <v>104.7</v>
      </c>
      <c r="J5" s="7">
        <v>153.5</v>
      </c>
      <c r="K5" s="7">
        <v>107.7</v>
      </c>
      <c r="L5" s="47">
        <f>AVERAGE(H5:K5)</f>
        <v>109</v>
      </c>
      <c r="M5" t="str">
        <f ca="1">IFERROR(_xlfn.FORMULATEXT(L5),"")</f>
        <v>=AVERAGE(H5:K5)</v>
      </c>
      <c r="N5" s="35" t="s">
        <v>115</v>
      </c>
    </row>
    <row r="6" spans="1:14" ht="16" x14ac:dyDescent="0.35">
      <c r="A6" s="42" t="s">
        <v>63</v>
      </c>
      <c r="B6" s="7" cm="1">
        <f t="array" ref="B6:K6">IFERROR(VLOOKUP($A6, INPUT!$A$2:$K$70, MATCH($B$3:$K$3, INPUT!$A$2:$K$2, 1), FALSE),"")</f>
        <v>3539.5</v>
      </c>
      <c r="C6" s="7">
        <v>4302.7</v>
      </c>
      <c r="D6" s="7">
        <v>3425.3</v>
      </c>
      <c r="E6" s="7">
        <v>3303.2</v>
      </c>
      <c r="F6" s="7">
        <v>4399.7</v>
      </c>
      <c r="G6" s="7">
        <v>3892.3</v>
      </c>
      <c r="H6" s="7">
        <v>2934</v>
      </c>
      <c r="I6" s="7">
        <v>4706.8</v>
      </c>
      <c r="J6" s="7">
        <v>5834.5</v>
      </c>
      <c r="K6" s="7">
        <v>7464.8</v>
      </c>
      <c r="L6" s="41">
        <f>WC!L8</f>
        <v>6024.2919541329366</v>
      </c>
      <c r="M6" t="str">
        <f t="shared" ref="M6:M30" ca="1" si="0">IFERROR(_xlfn.FORMULATEXT(L6),"")</f>
        <v>=WC!L8</v>
      </c>
    </row>
    <row r="7" spans="1:14" ht="16" x14ac:dyDescent="0.35">
      <c r="A7" s="42" t="s">
        <v>64</v>
      </c>
      <c r="B7" s="7" cm="1">
        <f t="array" ref="B7:K7">IFERROR(VLOOKUP($A7, INPUT!$A$2:$K$70, MATCH($B$3:$K$3, INPUT!$A$2:$K$2, 1), FALSE),"")</f>
        <v>5506</v>
      </c>
      <c r="C7" s="7">
        <v>6155.6</v>
      </c>
      <c r="D7" s="7">
        <v>5992.7</v>
      </c>
      <c r="E7" s="7">
        <v>7047.9</v>
      </c>
      <c r="F7" s="7">
        <v>7329</v>
      </c>
      <c r="G7" s="7">
        <v>8091.4</v>
      </c>
      <c r="H7" s="7">
        <v>11141.6</v>
      </c>
      <c r="I7" s="7">
        <v>12379.6</v>
      </c>
      <c r="J7" s="7">
        <v>12237.7</v>
      </c>
      <c r="K7" s="7">
        <v>11498.8</v>
      </c>
      <c r="L7" s="41">
        <f>WC!L9</f>
        <v>15444.116911662395</v>
      </c>
      <c r="M7" t="str">
        <f t="shared" ca="1" si="0"/>
        <v>=WC!L9</v>
      </c>
    </row>
    <row r="8" spans="1:14" ht="17.5" x14ac:dyDescent="0.35">
      <c r="A8" s="48" t="s">
        <v>32</v>
      </c>
      <c r="B8" s="7" t="str" cm="1">
        <f t="array" ref="B8">IFERROR(VLOOKUP($A8, INPUT!$A$2:$K$70, MATCH($B$3:$K$3, INPUT!$A$2:$K$2, 1), FALSE),"")</f>
        <v/>
      </c>
      <c r="C8" s="7"/>
      <c r="D8" s="7"/>
      <c r="E8" s="7"/>
      <c r="F8" s="7"/>
      <c r="G8" s="7"/>
      <c r="H8" s="7"/>
      <c r="I8" s="7"/>
      <c r="J8" s="7"/>
      <c r="K8" s="7"/>
      <c r="L8" s="41">
        <f>K8</f>
        <v>0</v>
      </c>
      <c r="M8" t="str">
        <f t="shared" ca="1" si="0"/>
        <v>=K8</v>
      </c>
    </row>
    <row r="9" spans="1:14" ht="17.5" x14ac:dyDescent="0.35">
      <c r="A9" s="49" t="s">
        <v>33</v>
      </c>
      <c r="B9" s="50">
        <f>SUM(B5:B8)</f>
        <v>9403.7999999999993</v>
      </c>
      <c r="C9" s="50">
        <f t="shared" ref="C9:K9" si="1">SUM(C5:C8)</f>
        <v>10702.400000000001</v>
      </c>
      <c r="D9" s="50">
        <f t="shared" si="1"/>
        <v>9405.5</v>
      </c>
      <c r="E9" s="50">
        <f t="shared" si="1"/>
        <v>10929.099999999999</v>
      </c>
      <c r="F9" s="50">
        <f t="shared" si="1"/>
        <v>11526.3</v>
      </c>
      <c r="G9" s="50">
        <f t="shared" si="1"/>
        <v>11766.2</v>
      </c>
      <c r="H9" s="50">
        <f t="shared" si="1"/>
        <v>14145.7</v>
      </c>
      <c r="I9" s="50">
        <f t="shared" si="1"/>
        <v>17191.099999999999</v>
      </c>
      <c r="J9" s="50">
        <f t="shared" si="1"/>
        <v>18225.7</v>
      </c>
      <c r="K9" s="50">
        <f t="shared" si="1"/>
        <v>19071.3</v>
      </c>
      <c r="L9" s="51">
        <f>SUM(L5:L8)</f>
        <v>21577.408865795333</v>
      </c>
      <c r="M9" t="str">
        <f t="shared" ca="1" si="0"/>
        <v>=SUM(L5:L8)</v>
      </c>
    </row>
    <row r="10" spans="1:14" ht="16" x14ac:dyDescent="0.35">
      <c r="A10" s="42" t="s">
        <v>6</v>
      </c>
      <c r="B10" s="7" cm="1">
        <f t="array" ref="B10:K10">IFERROR(VLOOKUP($A10, INPUT!$A$2:$K$70, MATCH($B$3:$K$3, INPUT!$A$2:$K$2, 1), FALSE),"")</f>
        <v>6624.3</v>
      </c>
      <c r="C10" s="7">
        <v>6217.7</v>
      </c>
      <c r="D10" s="7">
        <v>9291.7999999999993</v>
      </c>
      <c r="E10" s="7">
        <v>9713.4</v>
      </c>
      <c r="F10" s="7">
        <v>9718.7999999999993</v>
      </c>
      <c r="G10" s="7">
        <v>10607.5</v>
      </c>
      <c r="H10" s="7">
        <v>11310</v>
      </c>
      <c r="I10" s="7">
        <v>13291.9</v>
      </c>
      <c r="J10" s="7">
        <v>15955.8</v>
      </c>
      <c r="K10" s="7">
        <v>18100.099999999999</v>
      </c>
      <c r="L10" s="41">
        <f>PPE!M9</f>
        <v>3350.2518760406069</v>
      </c>
      <c r="M10" t="str">
        <f t="shared" ca="1" si="0"/>
        <v>=PPE!M9</v>
      </c>
    </row>
    <row r="11" spans="1:14" ht="16" x14ac:dyDescent="0.35">
      <c r="A11" s="42" t="s">
        <v>7</v>
      </c>
      <c r="B11" s="7" cm="1">
        <f t="array" ref="B11:K11">IFERROR(VLOOKUP($A11, INPUT!$A$2:$K$70, MATCH($B$3:$K$3, INPUT!$A$2:$K$2, 1), FALSE),"")</f>
        <v>200.9</v>
      </c>
      <c r="C11" s="7">
        <v>170.4</v>
      </c>
      <c r="D11" s="7">
        <v>128</v>
      </c>
      <c r="E11" s="7">
        <v>87.8</v>
      </c>
      <c r="F11" s="7">
        <v>153.69999999999999</v>
      </c>
      <c r="G11" s="7">
        <v>251.5</v>
      </c>
      <c r="H11" s="7">
        <v>264.2</v>
      </c>
      <c r="I11" s="7">
        <v>234.4</v>
      </c>
      <c r="J11" s="7">
        <v>210.1</v>
      </c>
      <c r="K11" s="7">
        <v>238</v>
      </c>
      <c r="L11" s="41">
        <f>K11</f>
        <v>238</v>
      </c>
      <c r="M11" t="str">
        <f t="shared" ca="1" si="0"/>
        <v>=K11</v>
      </c>
    </row>
    <row r="12" spans="1:14" ht="17.5" x14ac:dyDescent="0.35">
      <c r="A12" s="48" t="s">
        <v>34</v>
      </c>
      <c r="B12" s="7" t="str" cm="1">
        <f t="array" ref="B12">IFERROR(VLOOKUP($A12, INPUT!$A$2:$K$70, MATCH($B$3:$K$3, INPUT!$A$2:$K$2, 1), FALSE),"")</f>
        <v/>
      </c>
      <c r="C12" s="7"/>
      <c r="D12" s="7"/>
      <c r="E12" s="7"/>
      <c r="F12" s="7"/>
      <c r="G12" s="7"/>
      <c r="H12" s="7"/>
      <c r="I12" s="7"/>
      <c r="J12" s="7"/>
      <c r="K12" s="7"/>
      <c r="L12" s="41">
        <f>K12</f>
        <v>0</v>
      </c>
      <c r="M12" t="str">
        <f t="shared" ca="1" si="0"/>
        <v>=K12</v>
      </c>
    </row>
    <row r="13" spans="1:14" ht="17.5" x14ac:dyDescent="0.35">
      <c r="A13" s="49" t="s">
        <v>35</v>
      </c>
      <c r="B13" s="50">
        <f>SUM(B10:B12)</f>
        <v>6825.2</v>
      </c>
      <c r="C13" s="50">
        <f t="shared" ref="C13:K13" si="2">SUM(C10:C12)</f>
        <v>6388.0999999999995</v>
      </c>
      <c r="D13" s="50">
        <f t="shared" si="2"/>
        <v>9419.7999999999993</v>
      </c>
      <c r="E13" s="50">
        <f t="shared" si="2"/>
        <v>9801.1999999999989</v>
      </c>
      <c r="F13" s="50">
        <f t="shared" si="2"/>
        <v>9872.5</v>
      </c>
      <c r="G13" s="50">
        <f t="shared" si="2"/>
        <v>10859</v>
      </c>
      <c r="H13" s="50">
        <f t="shared" si="2"/>
        <v>11574.2</v>
      </c>
      <c r="I13" s="50">
        <f t="shared" si="2"/>
        <v>13526.3</v>
      </c>
      <c r="J13" s="50">
        <f t="shared" si="2"/>
        <v>16165.9</v>
      </c>
      <c r="K13" s="50">
        <f t="shared" si="2"/>
        <v>18338.099999999999</v>
      </c>
      <c r="L13" s="51">
        <f>SUM(L10:L12)</f>
        <v>3588.2518760406069</v>
      </c>
      <c r="M13" t="str">
        <f t="shared" ca="1" si="0"/>
        <v>=SUM(L10:L12)</v>
      </c>
    </row>
    <row r="14" spans="1:14" ht="17.5" x14ac:dyDescent="0.35">
      <c r="A14" s="52" t="s">
        <v>36</v>
      </c>
      <c r="B14" s="53">
        <f>B9+B13</f>
        <v>16229</v>
      </c>
      <c r="C14" s="53">
        <f t="shared" ref="C14:K14" si="3">C9+C13</f>
        <v>17090.5</v>
      </c>
      <c r="D14" s="53">
        <f t="shared" si="3"/>
        <v>18825.3</v>
      </c>
      <c r="E14" s="53">
        <f t="shared" si="3"/>
        <v>20730.299999999996</v>
      </c>
      <c r="F14" s="53">
        <f t="shared" si="3"/>
        <v>21398.799999999999</v>
      </c>
      <c r="G14" s="53">
        <f t="shared" si="3"/>
        <v>22625.200000000001</v>
      </c>
      <c r="H14" s="53">
        <f t="shared" si="3"/>
        <v>25719.9</v>
      </c>
      <c r="I14" s="53">
        <f t="shared" si="3"/>
        <v>30717.399999999998</v>
      </c>
      <c r="J14" s="53">
        <f t="shared" si="3"/>
        <v>34391.599999999999</v>
      </c>
      <c r="K14" s="53">
        <f t="shared" si="3"/>
        <v>37409.399999999994</v>
      </c>
      <c r="L14" s="54">
        <f>L9+L13</f>
        <v>25165.660741835938</v>
      </c>
      <c r="M14" t="str">
        <f t="shared" ca="1" si="0"/>
        <v>=L9+L13</v>
      </c>
    </row>
    <row r="15" spans="1:14" ht="16" x14ac:dyDescent="0.35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41"/>
      <c r="M15" t="str">
        <f t="shared" ca="1" si="0"/>
        <v/>
      </c>
    </row>
    <row r="16" spans="1:14" ht="17.5" x14ac:dyDescent="0.35">
      <c r="A16" s="46" t="s">
        <v>37</v>
      </c>
      <c r="B16" s="7"/>
      <c r="C16" s="7"/>
      <c r="D16" s="7"/>
      <c r="E16" s="7"/>
      <c r="F16" s="7"/>
      <c r="G16" s="7"/>
      <c r="H16" s="7"/>
      <c r="I16" s="7"/>
      <c r="J16" s="7"/>
      <c r="K16" s="7"/>
      <c r="L16" s="41"/>
      <c r="M16" t="str">
        <f t="shared" ca="1" si="0"/>
        <v/>
      </c>
    </row>
    <row r="17" spans="1:13" ht="16" x14ac:dyDescent="0.35">
      <c r="A17" s="42" t="s">
        <v>66</v>
      </c>
      <c r="B17" s="7" cm="1">
        <f t="array" ref="B17:K17">IFERROR(VLOOKUP($A17, INPUT!$A$2:$K$66, MATCH($B$3:$K$3, INPUT!$A$2:$K$2, 1), FALSE),"")</f>
        <v>7605.3</v>
      </c>
      <c r="C17" s="7">
        <v>9362.2000000000007</v>
      </c>
      <c r="D17" s="7">
        <v>9371.9</v>
      </c>
      <c r="E17" s="7">
        <v>9716.2000000000007</v>
      </c>
      <c r="F17" s="7">
        <v>10031.5</v>
      </c>
      <c r="G17" s="7">
        <v>10492.6</v>
      </c>
      <c r="H17" s="7">
        <v>15013.8</v>
      </c>
      <c r="I17" s="7">
        <v>16167.4</v>
      </c>
      <c r="J17" s="7">
        <v>18645.8</v>
      </c>
      <c r="K17" s="7">
        <v>21170.2</v>
      </c>
      <c r="L17" s="41">
        <f>WC!L14</f>
        <v>22548.704442848815</v>
      </c>
      <c r="M17" t="str">
        <f t="shared" ca="1" si="0"/>
        <v>=WC!L14</v>
      </c>
    </row>
    <row r="18" spans="1:13" ht="17.5" x14ac:dyDescent="0.35">
      <c r="A18" s="48" t="s">
        <v>39</v>
      </c>
      <c r="B18" s="7" cm="1">
        <f t="array" ref="B18:K18">IFERROR(VLOOKUP($A18, INPUT!$A$2:$K$66, MATCH($B$3:$K$3, INPUT!$A$2:$K$2, 1), FALSE),"")</f>
        <v>1291.3</v>
      </c>
      <c r="C18" s="7">
        <v>865.1</v>
      </c>
      <c r="D18" s="7">
        <v>830.4</v>
      </c>
      <c r="E18" s="7">
        <v>854.9</v>
      </c>
      <c r="F18" s="7">
        <v>1096.0999999999999</v>
      </c>
      <c r="G18" s="7">
        <v>892.8</v>
      </c>
      <c r="H18" s="7">
        <v>1602.5</v>
      </c>
      <c r="I18" s="7">
        <v>2707.4</v>
      </c>
      <c r="J18" s="7">
        <v>3208</v>
      </c>
      <c r="K18" s="7">
        <v>2156.8000000000002</v>
      </c>
      <c r="L18" s="41">
        <f>Debt!N8</f>
        <v>3949.9533333333329</v>
      </c>
      <c r="M18" t="str">
        <f t="shared" ca="1" si="0"/>
        <v>=Debt!N8</v>
      </c>
    </row>
    <row r="19" spans="1:13" ht="17.5" x14ac:dyDescent="0.35">
      <c r="A19" s="48" t="s">
        <v>67</v>
      </c>
      <c r="B19" s="7" cm="1">
        <f t="array" ref="B19:K19">IFERROR(VLOOKUP($A19, INPUT!$A$2:$K$66, MATCH($B$3:$K$3, INPUT!$A$2:$K$2, 1), FALSE),"")</f>
        <v>6078.6</v>
      </c>
      <c r="C19" s="7">
        <v>5985.5</v>
      </c>
      <c r="D19" s="7">
        <v>7299</v>
      </c>
      <c r="E19" s="7">
        <v>785.4</v>
      </c>
      <c r="F19" s="7">
        <v>987</v>
      </c>
      <c r="G19" s="7">
        <v>1383.7</v>
      </c>
      <c r="H19" s="7">
        <v>1744.9</v>
      </c>
      <c r="I19" s="7">
        <v>2103.3000000000002</v>
      </c>
      <c r="J19" s="7">
        <v>2260.5</v>
      </c>
      <c r="K19" s="7">
        <v>3058.3</v>
      </c>
      <c r="L19" s="55">
        <f>K19</f>
        <v>3058.3</v>
      </c>
      <c r="M19" t="str">
        <f t="shared" ca="1" si="0"/>
        <v>=K19</v>
      </c>
    </row>
    <row r="20" spans="1:13" ht="17.5" x14ac:dyDescent="0.35">
      <c r="A20" s="48" t="s">
        <v>38</v>
      </c>
      <c r="B20" s="7" t="str" cm="1">
        <f t="array" ref="B20">IFERROR(VLOOKUP($A20, INPUT!$A$2:$K$66, MATCH($B$3:$K$3, INPUT!$A$2:$K$2, 1), FALSE),"")</f>
        <v/>
      </c>
      <c r="C20" s="7"/>
      <c r="D20" s="7"/>
      <c r="E20" s="7"/>
      <c r="F20" s="7"/>
      <c r="G20" s="7"/>
      <c r="H20" s="7"/>
      <c r="I20" s="7"/>
      <c r="J20" s="7"/>
      <c r="K20" s="7"/>
      <c r="L20" s="41">
        <f>K20</f>
        <v>0</v>
      </c>
      <c r="M20" t="str">
        <f t="shared" ca="1" si="0"/>
        <v>=K20</v>
      </c>
    </row>
    <row r="21" spans="1:13" ht="17.5" x14ac:dyDescent="0.35">
      <c r="A21" s="49" t="s">
        <v>68</v>
      </c>
      <c r="B21" s="50">
        <f>SUM(B17:B20)</f>
        <v>14975.2</v>
      </c>
      <c r="C21" s="50">
        <f t="shared" ref="C21:K21" si="4">SUM(C17:C20)</f>
        <v>16212.800000000001</v>
      </c>
      <c r="D21" s="50">
        <f t="shared" si="4"/>
        <v>17501.3</v>
      </c>
      <c r="E21" s="50">
        <f t="shared" si="4"/>
        <v>11356.5</v>
      </c>
      <c r="F21" s="50">
        <f t="shared" si="4"/>
        <v>12114.6</v>
      </c>
      <c r="G21" s="50">
        <f t="shared" si="4"/>
        <v>12769.1</v>
      </c>
      <c r="H21" s="50">
        <f t="shared" si="4"/>
        <v>18361.2</v>
      </c>
      <c r="I21" s="50">
        <f t="shared" si="4"/>
        <v>20978.1</v>
      </c>
      <c r="J21" s="50">
        <f t="shared" si="4"/>
        <v>24114.3</v>
      </c>
      <c r="K21" s="50">
        <f t="shared" si="4"/>
        <v>26385.3</v>
      </c>
      <c r="L21" s="56">
        <f>SUM(L17:L20)</f>
        <v>29556.957776182146</v>
      </c>
      <c r="M21" t="str">
        <f t="shared" ca="1" si="0"/>
        <v>=SUM(L17:L20)</v>
      </c>
    </row>
    <row r="22" spans="1:13" ht="16" x14ac:dyDescent="0.35">
      <c r="A22" s="42" t="s">
        <v>61</v>
      </c>
      <c r="B22" s="7" cm="1">
        <f t="array" ref="B22:K22">IFERROR(VLOOKUP($A22, INPUT!$A$2:$K$66, MATCH($B$3:$K$3, INPUT!$A$2:$K$2, 1), FALSE),"")</f>
        <v>0</v>
      </c>
      <c r="C22" s="7">
        <v>7.2</v>
      </c>
      <c r="D22" s="7">
        <v>2006.4</v>
      </c>
      <c r="E22" s="7">
        <v>2010.4</v>
      </c>
      <c r="F22" s="7">
        <v>260.5</v>
      </c>
      <c r="G22" s="7">
        <v>246.8</v>
      </c>
      <c r="H22" s="7">
        <v>196.2</v>
      </c>
      <c r="I22" s="7">
        <v>2894.4</v>
      </c>
      <c r="J22" s="7">
        <v>2946.6</v>
      </c>
      <c r="K22" s="7">
        <v>5602.8</v>
      </c>
      <c r="L22" s="41">
        <f>Debt!L8</f>
        <v>5602.8</v>
      </c>
      <c r="M22" t="str">
        <f t="shared" ca="1" si="0"/>
        <v>=Debt!L8</v>
      </c>
    </row>
    <row r="23" spans="1:13" ht="16" x14ac:dyDescent="0.35">
      <c r="A23" s="42" t="s">
        <v>70</v>
      </c>
      <c r="B23" s="7" cm="1">
        <f t="array" ref="B23:K23">IFERROR(VLOOKUP($A23, INPUT!$A$2:$K$66, MATCH($B$3:$K$3, INPUT!$A$2:$K$2, 1), FALSE),"")</f>
        <v>743</v>
      </c>
      <c r="C23" s="7">
        <v>897.4</v>
      </c>
      <c r="D23" s="7">
        <v>1133.5999999999999</v>
      </c>
      <c r="E23" s="7">
        <v>1138.3</v>
      </c>
      <c r="F23" s="7">
        <v>1109.3</v>
      </c>
      <c r="G23" s="7">
        <v>1296.7</v>
      </c>
      <c r="H23" s="7">
        <v>1315</v>
      </c>
      <c r="I23" s="7">
        <v>1483.6</v>
      </c>
      <c r="J23" s="7">
        <v>1770</v>
      </c>
      <c r="K23" s="7">
        <v>1923.6</v>
      </c>
      <c r="L23" s="41">
        <f>K23</f>
        <v>1923.6</v>
      </c>
      <c r="M23" t="str">
        <f t="shared" ca="1" si="0"/>
        <v>=K23</v>
      </c>
    </row>
    <row r="24" spans="1:13" ht="17.5" x14ac:dyDescent="0.35">
      <c r="A24" s="48" t="s">
        <v>40</v>
      </c>
      <c r="B24" s="7" t="str" cm="1">
        <f t="array" ref="B24">IFERROR(VLOOKUP($A24, INPUT!$A$2:$K$66, MATCH($B$3:$K$3, INPUT!$A$2:$K$2, 1), FALSE),"")</f>
        <v/>
      </c>
      <c r="C24" s="7"/>
      <c r="D24" s="7"/>
      <c r="E24" s="7"/>
      <c r="F24" s="7"/>
      <c r="G24" s="7"/>
      <c r="H24" s="7"/>
      <c r="I24" s="7"/>
      <c r="J24" s="7"/>
      <c r="K24" s="7"/>
      <c r="L24" s="41">
        <f>K24</f>
        <v>0</v>
      </c>
      <c r="M24" t="str">
        <f t="shared" ca="1" si="0"/>
        <v>=K24</v>
      </c>
    </row>
    <row r="25" spans="1:13" ht="17.5" x14ac:dyDescent="0.35">
      <c r="A25" s="49" t="s">
        <v>41</v>
      </c>
      <c r="B25" s="50">
        <f>SUM(B22:B24)</f>
        <v>743</v>
      </c>
      <c r="C25" s="50">
        <f t="shared" ref="C25:K25" si="5">SUM(C22:C24)</f>
        <v>904.6</v>
      </c>
      <c r="D25" s="50">
        <f t="shared" si="5"/>
        <v>3140</v>
      </c>
      <c r="E25" s="50">
        <f t="shared" si="5"/>
        <v>3148.7</v>
      </c>
      <c r="F25" s="50">
        <f t="shared" si="5"/>
        <v>1369.8</v>
      </c>
      <c r="G25" s="50">
        <f t="shared" si="5"/>
        <v>1543.5</v>
      </c>
      <c r="H25" s="50">
        <f t="shared" si="5"/>
        <v>1511.2</v>
      </c>
      <c r="I25" s="50">
        <f t="shared" si="5"/>
        <v>4378</v>
      </c>
      <c r="J25" s="50">
        <f t="shared" si="5"/>
        <v>4716.6000000000004</v>
      </c>
      <c r="K25" s="50">
        <f t="shared" si="5"/>
        <v>7526.4</v>
      </c>
      <c r="L25" s="51">
        <f>SUM(L22:L24)</f>
        <v>7526.4</v>
      </c>
      <c r="M25" t="str">
        <f t="shared" ca="1" si="0"/>
        <v>=SUM(L22:L24)</v>
      </c>
    </row>
    <row r="26" spans="1:13" ht="17.5" x14ac:dyDescent="0.35">
      <c r="A26" s="57" t="s">
        <v>42</v>
      </c>
      <c r="B26" s="58">
        <f>B25+B21</f>
        <v>15718.2</v>
      </c>
      <c r="C26" s="58">
        <f t="shared" ref="C26:K26" si="6">C25+C21</f>
        <v>17117.400000000001</v>
      </c>
      <c r="D26" s="58">
        <f t="shared" si="6"/>
        <v>20641.3</v>
      </c>
      <c r="E26" s="58">
        <f t="shared" si="6"/>
        <v>14505.2</v>
      </c>
      <c r="F26" s="58">
        <f t="shared" si="6"/>
        <v>13484.4</v>
      </c>
      <c r="G26" s="58">
        <f t="shared" si="6"/>
        <v>14312.6</v>
      </c>
      <c r="H26" s="58">
        <f t="shared" si="6"/>
        <v>19872.400000000001</v>
      </c>
      <c r="I26" s="58">
        <f t="shared" si="6"/>
        <v>25356.1</v>
      </c>
      <c r="J26" s="58">
        <f t="shared" si="6"/>
        <v>28830.9</v>
      </c>
      <c r="K26" s="58">
        <f t="shared" si="6"/>
        <v>33911.699999999997</v>
      </c>
      <c r="L26" s="59">
        <f>L25+L21</f>
        <v>37083.357776182143</v>
      </c>
      <c r="M26" t="str">
        <f t="shared" ca="1" si="0"/>
        <v>=L25+L21</v>
      </c>
    </row>
    <row r="27" spans="1:13" ht="17.5" x14ac:dyDescent="0.35">
      <c r="A27" s="48" t="s">
        <v>43</v>
      </c>
      <c r="B27" s="7" cm="1">
        <f t="array" ref="B27:K27">IFERROR(VLOOKUP($A27, INPUT!$A$2:$K$66, MATCH($B$3:$K$3, INPUT!$A$2:$K$2, 1), FALSE),"")</f>
        <v>1756.5</v>
      </c>
      <c r="C27" s="7">
        <v>1759.1</v>
      </c>
      <c r="D27" s="7">
        <v>1761.5</v>
      </c>
      <c r="E27" s="7">
        <v>1761.5</v>
      </c>
      <c r="F27" s="7">
        <v>1766.3</v>
      </c>
      <c r="G27" s="7">
        <v>1767.1</v>
      </c>
      <c r="H27" s="7">
        <v>1767.4</v>
      </c>
      <c r="I27" s="7">
        <v>1767.9</v>
      </c>
      <c r="J27" s="7">
        <v>1771.8</v>
      </c>
      <c r="K27" s="7">
        <v>1772</v>
      </c>
      <c r="L27" s="41">
        <f>K27</f>
        <v>1772</v>
      </c>
      <c r="M27" t="str">
        <f t="shared" ca="1" si="0"/>
        <v>=K27</v>
      </c>
    </row>
    <row r="28" spans="1:13" ht="17.5" x14ac:dyDescent="0.35">
      <c r="A28" s="48" t="s">
        <v>69</v>
      </c>
      <c r="B28" s="7" cm="1">
        <f t="array" ref="B28:K28">IFERROR(VLOOKUP($A28, INPUT!$A$2:$K$66, MATCH($B$3:$K$3, INPUT!$A$2:$K$2, 1), FALSE),"")</f>
        <v>21605.4</v>
      </c>
      <c r="C28" s="7">
        <v>29183.8</v>
      </c>
      <c r="D28" s="7">
        <v>34817.300000000003</v>
      </c>
      <c r="E28" s="7">
        <v>40507.1</v>
      </c>
      <c r="F28" s="7">
        <v>37921.9</v>
      </c>
      <c r="G28" s="7">
        <v>43975.199999999997</v>
      </c>
      <c r="H28" s="7">
        <v>52144.800000000003</v>
      </c>
      <c r="I28" s="7">
        <v>56870.8</v>
      </c>
      <c r="J28" s="7">
        <v>61097</v>
      </c>
      <c r="K28" s="7">
        <v>67381.7</v>
      </c>
      <c r="L28" s="41" t="e">
        <f>K28+IS!L17-IS!L18</f>
        <v>#VALUE!</v>
      </c>
      <c r="M28" t="str">
        <f t="shared" ca="1" si="0"/>
        <v>=K28+IS!L17-IS!L18</v>
      </c>
    </row>
    <row r="29" spans="1:13" ht="17.5" x14ac:dyDescent="0.35">
      <c r="A29" s="49" t="s">
        <v>44</v>
      </c>
      <c r="B29" s="50">
        <f>SUM(B27:B28)</f>
        <v>23361.9</v>
      </c>
      <c r="C29" s="50">
        <f t="shared" ref="C29:K29" si="7">SUM(C27:C28)</f>
        <v>30942.899999999998</v>
      </c>
      <c r="D29" s="50">
        <f t="shared" si="7"/>
        <v>36578.800000000003</v>
      </c>
      <c r="E29" s="50">
        <f t="shared" si="7"/>
        <v>42268.6</v>
      </c>
      <c r="F29" s="50">
        <f t="shared" si="7"/>
        <v>39688.200000000004</v>
      </c>
      <c r="G29" s="50">
        <f t="shared" si="7"/>
        <v>45742.299999999996</v>
      </c>
      <c r="H29" s="50">
        <f t="shared" si="7"/>
        <v>53912.200000000004</v>
      </c>
      <c r="I29" s="50">
        <f t="shared" si="7"/>
        <v>58638.700000000004</v>
      </c>
      <c r="J29" s="50">
        <f t="shared" si="7"/>
        <v>62868.800000000003</v>
      </c>
      <c r="K29" s="50">
        <f t="shared" si="7"/>
        <v>69153.7</v>
      </c>
      <c r="L29" s="51" t="e">
        <f>SUM(L27:L28)</f>
        <v>#VALUE!</v>
      </c>
      <c r="M29" t="str">
        <f t="shared" ca="1" si="0"/>
        <v>=SUM(L27:L28)</v>
      </c>
    </row>
    <row r="30" spans="1:13" ht="17.5" x14ac:dyDescent="0.35">
      <c r="A30" s="57" t="s">
        <v>45</v>
      </c>
      <c r="B30" s="58">
        <f>B29+B26</f>
        <v>39080.100000000006</v>
      </c>
      <c r="C30" s="58">
        <f t="shared" ref="C30:K30" si="8">C29+C26</f>
        <v>48060.3</v>
      </c>
      <c r="D30" s="58">
        <f t="shared" si="8"/>
        <v>57220.100000000006</v>
      </c>
      <c r="E30" s="58">
        <f t="shared" si="8"/>
        <v>56773.8</v>
      </c>
      <c r="F30" s="58">
        <f t="shared" si="8"/>
        <v>53172.600000000006</v>
      </c>
      <c r="G30" s="58">
        <f t="shared" si="8"/>
        <v>60054.899999999994</v>
      </c>
      <c r="H30" s="58">
        <f t="shared" si="8"/>
        <v>73784.600000000006</v>
      </c>
      <c r="I30" s="58">
        <f t="shared" si="8"/>
        <v>83994.8</v>
      </c>
      <c r="J30" s="58">
        <f t="shared" si="8"/>
        <v>91699.700000000012</v>
      </c>
      <c r="K30" s="58">
        <f t="shared" si="8"/>
        <v>103065.4</v>
      </c>
      <c r="L30" s="59" t="e">
        <f>L29+L26</f>
        <v>#VALUE!</v>
      </c>
      <c r="M30" t="str">
        <f t="shared" ca="1" si="0"/>
        <v>=L29+L26</v>
      </c>
    </row>
    <row r="31" spans="1:13" x14ac:dyDescent="0.35">
      <c r="A31" s="42"/>
      <c r="B31" s="42"/>
      <c r="C31" s="42"/>
      <c r="D31" s="42"/>
      <c r="E31" s="42"/>
      <c r="F31" s="42"/>
      <c r="G31" s="42"/>
      <c r="H31" s="42"/>
      <c r="I31" s="42"/>
      <c r="J31" s="42"/>
      <c r="K31" s="42"/>
      <c r="L31" s="42"/>
    </row>
    <row r="32" spans="1:13" x14ac:dyDescent="0.35">
      <c r="A32" s="42"/>
      <c r="B32" s="42"/>
      <c r="C32" s="42"/>
      <c r="D32" s="42"/>
      <c r="E32" s="42"/>
      <c r="F32" s="42"/>
      <c r="G32" s="42"/>
      <c r="H32" s="42"/>
      <c r="I32" s="42"/>
      <c r="J32" s="42"/>
      <c r="K32" s="42"/>
      <c r="L32" s="42"/>
    </row>
    <row r="33" spans="1:13" x14ac:dyDescent="0.35">
      <c r="A33" s="60" t="s">
        <v>71</v>
      </c>
      <c r="B33" s="60">
        <f>B30-B14</f>
        <v>22851.100000000006</v>
      </c>
      <c r="C33" s="60">
        <f t="shared" ref="C33:K33" si="9">C30-C14</f>
        <v>30969.800000000003</v>
      </c>
      <c r="D33" s="60">
        <f t="shared" si="9"/>
        <v>38394.800000000003</v>
      </c>
      <c r="E33" s="60">
        <f t="shared" si="9"/>
        <v>36043.500000000007</v>
      </c>
      <c r="F33" s="60">
        <f t="shared" si="9"/>
        <v>31773.800000000007</v>
      </c>
      <c r="G33" s="60">
        <f t="shared" si="9"/>
        <v>37429.699999999997</v>
      </c>
      <c r="H33" s="60">
        <f t="shared" si="9"/>
        <v>48064.700000000004</v>
      </c>
      <c r="I33" s="60">
        <f t="shared" si="9"/>
        <v>53277.400000000009</v>
      </c>
      <c r="J33" s="60">
        <f t="shared" si="9"/>
        <v>57308.100000000013</v>
      </c>
      <c r="K33" s="60">
        <f t="shared" si="9"/>
        <v>65656</v>
      </c>
      <c r="L33" s="61" t="e">
        <f>L14-L30</f>
        <v>#VALUE!</v>
      </c>
      <c r="M33" t="s">
        <v>114</v>
      </c>
    </row>
  </sheetData>
  <conditionalFormatting sqref="L33">
    <cfRule type="cellIs" dxfId="3" priority="1" operator="greaterThan">
      <formula>0</formula>
    </cfRule>
    <cfRule type="cellIs" dxfId="2" priority="2" operator="lessThan">
      <formula>0</formula>
    </cfRule>
  </conditionalFormatting>
  <conditionalFormatting sqref="M33">
    <cfRule type="containsText" dxfId="1" priority="3" operator="containsText" text="DFN">
      <formula>NOT(ISERROR(SEARCH("DFN",M33)))</formula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4" operator="containsText" id="{0DDC7C9B-D03D-4E03-A5F6-527074BA9411}">
            <xm:f>NOT(ISERROR(SEARCH($M$33,M33)))</xm:f>
            <xm:f>$M$33</xm:f>
            <x14:dxf>
              <fill>
                <patternFill>
                  <bgColor rgb="FF92D050"/>
                </patternFill>
              </fill>
            </x14:dxf>
          </x14:cfRule>
          <xm:sqref>M33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8F01F-87D2-4529-A4C8-0E1B2F7CD1F1}">
  <dimension ref="A1:N34"/>
  <sheetViews>
    <sheetView topLeftCell="A14" zoomScaleNormal="100" workbookViewId="0">
      <selection activeCell="M6" sqref="M6"/>
    </sheetView>
  </sheetViews>
  <sheetFormatPr defaultRowHeight="14.5" x14ac:dyDescent="0.35"/>
  <cols>
    <col min="1" max="1" width="41.08984375" customWidth="1"/>
    <col min="2" max="2" width="19.54296875" customWidth="1"/>
    <col min="3" max="3" width="8.90625" bestFit="1" customWidth="1"/>
    <col min="4" max="4" width="8.81640625" bestFit="1" customWidth="1"/>
    <col min="5" max="6" width="8.7265625" bestFit="1" customWidth="1"/>
    <col min="7" max="8" width="8.90625" bestFit="1" customWidth="1"/>
    <col min="9" max="9" width="8.36328125" bestFit="1" customWidth="1"/>
    <col min="10" max="10" width="8.453125" bestFit="1" customWidth="1"/>
    <col min="11" max="11" width="8.7265625" bestFit="1" customWidth="1"/>
    <col min="12" max="12" width="14.26953125" bestFit="1" customWidth="1"/>
    <col min="13" max="13" width="14.36328125" bestFit="1" customWidth="1"/>
    <col min="14" max="14" width="16.36328125" bestFit="1" customWidth="1"/>
  </cols>
  <sheetData>
    <row r="1" spans="1:14" x14ac:dyDescent="0.35">
      <c r="A1" s="1" t="s">
        <v>92</v>
      </c>
    </row>
    <row r="2" spans="1:14" ht="16" x14ac:dyDescent="0.4">
      <c r="A2" s="37" t="s">
        <v>113</v>
      </c>
    </row>
    <row r="3" spans="1:14" ht="16" x14ac:dyDescent="0.35">
      <c r="A3" s="38" t="s">
        <v>16</v>
      </c>
      <c r="B3" s="39">
        <v>2015</v>
      </c>
      <c r="C3" s="39">
        <v>2016</v>
      </c>
      <c r="D3" s="39">
        <v>2017</v>
      </c>
      <c r="E3" s="39">
        <v>2018</v>
      </c>
      <c r="F3" s="39">
        <v>2019</v>
      </c>
      <c r="G3" s="39">
        <v>2020</v>
      </c>
      <c r="H3" s="39">
        <v>2021</v>
      </c>
      <c r="I3" s="39">
        <v>2022</v>
      </c>
      <c r="J3" s="39">
        <v>2023</v>
      </c>
      <c r="K3" s="39">
        <v>2024</v>
      </c>
      <c r="L3" s="38" t="s">
        <v>93</v>
      </c>
    </row>
    <row r="4" spans="1:14" ht="16" x14ac:dyDescent="0.35">
      <c r="A4" s="40" t="s">
        <v>17</v>
      </c>
      <c r="B4" s="7" cm="1">
        <f t="array" ref="B4:K4">IFERROR(VLOOKUP($A4, INPUT!$A$2:$K$173, MATCH($B$3:$K$3, INPUT!$A$2:$K$2, 1), FALSE),"")</f>
        <v>54245.4</v>
      </c>
      <c r="C4" s="7">
        <v>53508.2</v>
      </c>
      <c r="D4" s="7">
        <v>52984.2</v>
      </c>
      <c r="E4" s="7">
        <v>55456.6</v>
      </c>
      <c r="F4" s="7">
        <v>62329.9</v>
      </c>
      <c r="G4" s="7">
        <v>62659.3</v>
      </c>
      <c r="H4" s="7">
        <v>71552.7</v>
      </c>
      <c r="I4" s="7">
        <v>81928.2</v>
      </c>
      <c r="J4" s="7">
        <v>86950.1</v>
      </c>
      <c r="K4" s="7">
        <v>91449</v>
      </c>
      <c r="L4" s="41">
        <f>IS!L5</f>
        <v>92715.140000000014</v>
      </c>
      <c r="M4" t="str">
        <f ca="1">IFERROR(_xlfn.FORMULATEXT(L4),"")</f>
        <v>=IS!L5</v>
      </c>
    </row>
    <row r="5" spans="1:14" ht="16" x14ac:dyDescent="0.35">
      <c r="A5" s="42" t="s">
        <v>2</v>
      </c>
      <c r="B5" s="7" cm="1">
        <f t="array" ref="B5:K5">IFERROR(VLOOKUP($A5, INPUT!$A$2:$K$173, MATCH($B$3:$K$3, INPUT!$A$2:$K$2, 1), FALSE),"")</f>
        <v>32547.29</v>
      </c>
      <c r="C5" s="7">
        <v>32030.02</v>
      </c>
      <c r="D5" s="7">
        <v>32636.2</v>
      </c>
      <c r="E5" s="7">
        <v>34331.379999999997</v>
      </c>
      <c r="F5" s="7">
        <v>38404.910000000003</v>
      </c>
      <c r="G5" s="7">
        <v>38719.94</v>
      </c>
      <c r="H5" s="7">
        <v>44015.53</v>
      </c>
      <c r="I5" s="7">
        <v>51510.68</v>
      </c>
      <c r="J5" s="7">
        <v>56989.86</v>
      </c>
      <c r="K5" s="7">
        <v>58304.24</v>
      </c>
      <c r="L5" s="41">
        <f>IS!L6</f>
        <v>57526.027253028471</v>
      </c>
      <c r="M5" t="str">
        <f t="shared" ref="M5:M26" ca="1" si="0">IFERROR(_xlfn.FORMULATEXT(L5),"")</f>
        <v>=IS!L6</v>
      </c>
    </row>
    <row r="6" spans="1:14" ht="16" x14ac:dyDescent="0.35">
      <c r="A6" s="42"/>
      <c r="B6" s="7"/>
      <c r="C6" s="7"/>
      <c r="D6" s="7"/>
      <c r="E6" s="7"/>
      <c r="F6" s="7"/>
      <c r="G6" s="7"/>
      <c r="H6" s="7"/>
      <c r="I6" s="7"/>
      <c r="J6" s="7"/>
      <c r="K6" s="7"/>
      <c r="L6" s="41"/>
      <c r="M6" t="str">
        <f t="shared" ca="1" si="0"/>
        <v/>
      </c>
    </row>
    <row r="7" spans="1:14" ht="16" x14ac:dyDescent="0.35">
      <c r="A7" s="42" t="s">
        <v>102</v>
      </c>
      <c r="B7" s="7"/>
      <c r="C7" s="7"/>
      <c r="D7" s="7"/>
      <c r="E7" s="7"/>
      <c r="F7" s="7"/>
      <c r="G7" s="7"/>
      <c r="H7" s="7"/>
      <c r="I7" s="7"/>
      <c r="J7" s="7"/>
      <c r="K7" s="7"/>
      <c r="L7" s="41"/>
      <c r="M7" t="str">
        <f t="shared" ca="1" si="0"/>
        <v/>
      </c>
    </row>
    <row r="8" spans="1:14" ht="16" x14ac:dyDescent="0.35">
      <c r="A8" s="42" t="s">
        <v>63</v>
      </c>
      <c r="B8" s="7" cm="1">
        <f t="array" ref="B8:K8">IFERROR(VLOOKUP($A8, INPUT!$A$2:$K$173, MATCH($B$3:$K$3, INPUT!$A$2:$K$2, 1), FALSE),"")</f>
        <v>3539.5</v>
      </c>
      <c r="C8" s="7">
        <v>4302.7</v>
      </c>
      <c r="D8" s="7">
        <v>3425.3</v>
      </c>
      <c r="E8" s="7">
        <v>3303.2</v>
      </c>
      <c r="F8" s="7">
        <v>4399.7</v>
      </c>
      <c r="G8" s="7">
        <v>3892.3</v>
      </c>
      <c r="H8" s="7">
        <v>2934</v>
      </c>
      <c r="I8" s="7">
        <v>4706.8</v>
      </c>
      <c r="J8" s="7">
        <v>5834.5</v>
      </c>
      <c r="K8" s="7">
        <v>7464.8</v>
      </c>
      <c r="L8" s="41">
        <f>AVERAGE(B21:K21)/365*L4</f>
        <v>6024.2919541329366</v>
      </c>
      <c r="M8" t="str">
        <f t="shared" ca="1" si="0"/>
        <v>=AVERAGE(B21:K21)/365*L4</v>
      </c>
      <c r="N8" s="35" t="s">
        <v>97</v>
      </c>
    </row>
    <row r="9" spans="1:14" ht="16" x14ac:dyDescent="0.35">
      <c r="A9" s="42" t="s">
        <v>64</v>
      </c>
      <c r="B9" s="7" cm="1">
        <f t="array" ref="B9:K9">IFERROR(VLOOKUP($A9, INPUT!$A$2:$K$173, MATCH($B$3:$K$3, INPUT!$A$2:$K$2, 1), FALSE),"")</f>
        <v>5506</v>
      </c>
      <c r="C9" s="7">
        <v>6155.6</v>
      </c>
      <c r="D9" s="7">
        <v>5992.7</v>
      </c>
      <c r="E9" s="7">
        <v>7047.9</v>
      </c>
      <c r="F9" s="7">
        <v>7329</v>
      </c>
      <c r="G9" s="7">
        <v>8091.4</v>
      </c>
      <c r="H9" s="7">
        <v>11141.6</v>
      </c>
      <c r="I9" s="7">
        <v>12379.6</v>
      </c>
      <c r="J9" s="7">
        <v>12237.7</v>
      </c>
      <c r="K9" s="7">
        <v>11498.8</v>
      </c>
      <c r="L9" s="43">
        <f>AVERAGE(B22:K22)/365*L5</f>
        <v>15444.116911662395</v>
      </c>
      <c r="M9" t="str">
        <f t="shared" ca="1" si="0"/>
        <v>=AVERAGE(B22:K22)/365*L5</v>
      </c>
      <c r="N9" s="35" t="s">
        <v>98</v>
      </c>
    </row>
    <row r="10" spans="1:14" ht="16.5" x14ac:dyDescent="0.35">
      <c r="A10" s="44" t="s">
        <v>32</v>
      </c>
      <c r="B10" s="7" cm="1">
        <f t="array" ref="B10:K10">IFERROR(VLOOKUP($A10, INPUT!$A$2:$K$173, MATCH($B$3:$K$3, INPUT!$A$2:$K$2, 1), FALSE),"")</f>
        <v>10546.400000000001</v>
      </c>
      <c r="C10" s="7">
        <v>13116.199999999997</v>
      </c>
      <c r="D10" s="7">
        <v>15104.5</v>
      </c>
      <c r="E10" s="7">
        <v>8761.8000000000029</v>
      </c>
      <c r="F10" s="7">
        <v>9815</v>
      </c>
      <c r="G10" s="7">
        <v>20994.399999999998</v>
      </c>
      <c r="H10" s="7">
        <v>14288.5</v>
      </c>
      <c r="I10" s="7">
        <v>9324.5</v>
      </c>
      <c r="J10" s="7">
        <v>4322.5</v>
      </c>
      <c r="K10" s="7">
        <v>15525.100000000002</v>
      </c>
      <c r="L10" s="43">
        <f>AVERAGE(_xlfn.ANCHORARRAY(B10))</f>
        <v>12179.890000000001</v>
      </c>
      <c r="M10" t="str">
        <f t="shared" ca="1" si="0"/>
        <v>=AVERAGE(B10#)</v>
      </c>
      <c r="N10" s="35" t="s">
        <v>107</v>
      </c>
    </row>
    <row r="11" spans="1:14" ht="16" x14ac:dyDescent="0.35">
      <c r="A11" s="42" t="s">
        <v>33</v>
      </c>
      <c r="B11" s="7">
        <f>SUM(B8:B10)</f>
        <v>19591.900000000001</v>
      </c>
      <c r="C11" s="7">
        <f t="shared" ref="C11:L11" si="1">SUM(C8:C10)</f>
        <v>23574.499999999996</v>
      </c>
      <c r="D11" s="7">
        <f t="shared" si="1"/>
        <v>24522.5</v>
      </c>
      <c r="E11" s="7">
        <f t="shared" si="1"/>
        <v>19112.900000000001</v>
      </c>
      <c r="F11" s="7">
        <f t="shared" si="1"/>
        <v>21543.7</v>
      </c>
      <c r="G11" s="7">
        <f t="shared" si="1"/>
        <v>32978.1</v>
      </c>
      <c r="H11" s="7">
        <f t="shared" si="1"/>
        <v>28364.1</v>
      </c>
      <c r="I11" s="7">
        <f t="shared" si="1"/>
        <v>26410.9</v>
      </c>
      <c r="J11" s="7">
        <f t="shared" si="1"/>
        <v>22394.7</v>
      </c>
      <c r="K11" s="7">
        <f t="shared" si="1"/>
        <v>34488.699999999997</v>
      </c>
      <c r="L11" s="7">
        <f t="shared" si="1"/>
        <v>33648.298865795332</v>
      </c>
      <c r="M11" t="str">
        <f t="shared" ca="1" si="0"/>
        <v>=SUM(L8:L10)</v>
      </c>
      <c r="N11" s="35"/>
    </row>
    <row r="12" spans="1:14" ht="16" x14ac:dyDescent="0.35">
      <c r="A12" s="42"/>
      <c r="B12" s="42"/>
      <c r="C12" s="42"/>
      <c r="D12" s="42"/>
      <c r="E12" s="42"/>
      <c r="F12" s="42"/>
      <c r="G12" s="42"/>
      <c r="H12" s="42"/>
      <c r="I12" s="42"/>
      <c r="J12" s="42"/>
      <c r="K12" s="42"/>
      <c r="L12" s="43"/>
      <c r="M12" t="str">
        <f t="shared" ca="1" si="0"/>
        <v/>
      </c>
      <c r="N12" s="35"/>
    </row>
    <row r="13" spans="1:14" ht="16" x14ac:dyDescent="0.35">
      <c r="A13" s="42" t="s">
        <v>103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42"/>
      <c r="M13" t="str">
        <f t="shared" ca="1" si="0"/>
        <v/>
      </c>
      <c r="N13" s="35" t="s">
        <v>99</v>
      </c>
    </row>
    <row r="14" spans="1:14" ht="16" x14ac:dyDescent="0.35">
      <c r="A14" s="42" t="s">
        <v>66</v>
      </c>
      <c r="B14" s="7" cm="1">
        <f t="array" ref="B14:K14">IFERROR(VLOOKUP($A14, INPUT!$A$2:$K$173, MATCH($B$3:$K$3, INPUT!$A$2:$K$2, 1), FALSE),"")</f>
        <v>7605.3</v>
      </c>
      <c r="C14" s="7">
        <v>9362.2000000000007</v>
      </c>
      <c r="D14" s="7">
        <v>9371.9</v>
      </c>
      <c r="E14" s="7">
        <v>9716.2000000000007</v>
      </c>
      <c r="F14" s="7">
        <v>10031.5</v>
      </c>
      <c r="G14" s="7">
        <v>10492.6</v>
      </c>
      <c r="H14" s="7">
        <v>15013.8</v>
      </c>
      <c r="I14" s="7">
        <v>16167.4</v>
      </c>
      <c r="J14" s="7">
        <v>18645.8</v>
      </c>
      <c r="K14" s="7">
        <v>21170.2</v>
      </c>
      <c r="L14" s="43">
        <f>AVERAGE(B23:K23)/365*L5</f>
        <v>22548.704442848815</v>
      </c>
      <c r="M14" t="str">
        <f t="shared" ca="1" si="0"/>
        <v>=AVERAGE(B23:K23)/365*L5</v>
      </c>
      <c r="N14" s="35" t="s">
        <v>106</v>
      </c>
    </row>
    <row r="15" spans="1:14" ht="16" x14ac:dyDescent="0.35">
      <c r="A15" s="42" t="s">
        <v>38</v>
      </c>
      <c r="B15" s="7" cm="1">
        <f t="array" ref="B15:K15">IFERROR(VLOOKUP($A15, INPUT!$A$2:$K$173, MATCH($B$3:$K$3, INPUT!$A$2:$K$2, 1), FALSE),"")</f>
        <v>1642.0999999999985</v>
      </c>
      <c r="C15" s="7">
        <v>1346.2999999999975</v>
      </c>
      <c r="D15" s="7">
        <v>1242.5</v>
      </c>
      <c r="E15" s="7">
        <v>1090.7999999999993</v>
      </c>
      <c r="F15" s="7">
        <v>3165.8999999999996</v>
      </c>
      <c r="G15" s="7">
        <v>1758.1000000000004</v>
      </c>
      <c r="H15" s="7">
        <v>2137.0999999999985</v>
      </c>
      <c r="I15" s="7">
        <v>2274.2000000000007</v>
      </c>
      <c r="J15" s="7">
        <v>2436.2999999999993</v>
      </c>
      <c r="K15" s="7">
        <v>2797.7000000000007</v>
      </c>
      <c r="L15" s="43">
        <f>AVERAGE(B26:K26)*L4</f>
        <v>2722.4998083019809</v>
      </c>
      <c r="M15" t="str">
        <f t="shared" ca="1" si="0"/>
        <v>=AVERAGE(B26:K26)*L4</v>
      </c>
      <c r="N15" s="35"/>
    </row>
    <row r="16" spans="1:14" ht="16" x14ac:dyDescent="0.35">
      <c r="A16" s="42" t="s">
        <v>108</v>
      </c>
      <c r="B16" s="7">
        <f>SUM(B14:B15)</f>
        <v>9247.3999999999978</v>
      </c>
      <c r="C16" s="7">
        <f t="shared" ref="C16:L16" si="2">SUM(C14:C15)</f>
        <v>10708.499999999998</v>
      </c>
      <c r="D16" s="7">
        <f t="shared" si="2"/>
        <v>10614.4</v>
      </c>
      <c r="E16" s="7">
        <f t="shared" si="2"/>
        <v>10807</v>
      </c>
      <c r="F16" s="7">
        <f t="shared" si="2"/>
        <v>13197.4</v>
      </c>
      <c r="G16" s="7">
        <f t="shared" si="2"/>
        <v>12250.7</v>
      </c>
      <c r="H16" s="7">
        <f t="shared" si="2"/>
        <v>17150.899999999998</v>
      </c>
      <c r="I16" s="7">
        <f t="shared" si="2"/>
        <v>18441.599999999999</v>
      </c>
      <c r="J16" s="7">
        <f t="shared" si="2"/>
        <v>21082.1</v>
      </c>
      <c r="K16" s="7">
        <f t="shared" si="2"/>
        <v>23967.9</v>
      </c>
      <c r="L16" s="7">
        <f t="shared" si="2"/>
        <v>25271.204251150797</v>
      </c>
      <c r="M16" t="str">
        <f t="shared" ca="1" si="0"/>
        <v>=SUM(L14:L15)</v>
      </c>
    </row>
    <row r="17" spans="1:13" ht="16" x14ac:dyDescent="0.35">
      <c r="A17" s="42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t="str">
        <f t="shared" ca="1" si="0"/>
        <v/>
      </c>
    </row>
    <row r="18" spans="1:13" ht="16" x14ac:dyDescent="0.35">
      <c r="A18" s="38" t="s">
        <v>100</v>
      </c>
      <c r="B18" s="41">
        <f>B11-B16</f>
        <v>10344.500000000004</v>
      </c>
      <c r="C18" s="41">
        <f t="shared" ref="C18:K18" si="3">C11-C16</f>
        <v>12865.999999999998</v>
      </c>
      <c r="D18" s="41">
        <f t="shared" si="3"/>
        <v>13908.1</v>
      </c>
      <c r="E18" s="41">
        <f t="shared" si="3"/>
        <v>8305.9000000000015</v>
      </c>
      <c r="F18" s="41">
        <f t="shared" si="3"/>
        <v>8346.3000000000011</v>
      </c>
      <c r="G18" s="41">
        <f t="shared" si="3"/>
        <v>20727.399999999998</v>
      </c>
      <c r="H18" s="41">
        <f t="shared" si="3"/>
        <v>11213.2</v>
      </c>
      <c r="I18" s="41">
        <f t="shared" si="3"/>
        <v>7969.3000000000029</v>
      </c>
      <c r="J18" s="41">
        <f t="shared" si="3"/>
        <v>1312.6000000000022</v>
      </c>
      <c r="K18" s="41">
        <f t="shared" si="3"/>
        <v>10520.799999999996</v>
      </c>
      <c r="L18" s="41">
        <f>L11-L16</f>
        <v>8377.0946146445349</v>
      </c>
      <c r="M18" t="str">
        <f t="shared" ca="1" si="0"/>
        <v>=L11-L16</v>
      </c>
    </row>
    <row r="19" spans="1:13" ht="16" x14ac:dyDescent="0.35">
      <c r="A19" s="38" t="s">
        <v>101</v>
      </c>
      <c r="B19" s="7"/>
      <c r="C19" s="41">
        <f>B18-C18</f>
        <v>-2521.4999999999945</v>
      </c>
      <c r="D19" s="41">
        <f t="shared" ref="D19:K19" si="4">C18-D18</f>
        <v>-1042.1000000000022</v>
      </c>
      <c r="E19" s="41">
        <f t="shared" si="4"/>
        <v>5602.1999999999989</v>
      </c>
      <c r="F19" s="41">
        <f t="shared" si="4"/>
        <v>-40.399999999999636</v>
      </c>
      <c r="G19" s="41">
        <f t="shared" si="4"/>
        <v>-12381.099999999997</v>
      </c>
      <c r="H19" s="41">
        <f t="shared" si="4"/>
        <v>9514.1999999999971</v>
      </c>
      <c r="I19" s="41">
        <f t="shared" si="4"/>
        <v>3243.8999999999978</v>
      </c>
      <c r="J19" s="41">
        <f t="shared" si="4"/>
        <v>6656.7000000000007</v>
      </c>
      <c r="K19" s="41">
        <f t="shared" si="4"/>
        <v>-9208.1999999999935</v>
      </c>
      <c r="L19" s="41">
        <f>K18-L18</f>
        <v>2143.7053853554607</v>
      </c>
      <c r="M19" t="str">
        <f t="shared" ca="1" si="0"/>
        <v>=K18-L18</v>
      </c>
    </row>
    <row r="20" spans="1:13" ht="16" x14ac:dyDescent="0.35">
      <c r="A20" s="38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t="str">
        <f t="shared" ca="1" si="0"/>
        <v/>
      </c>
    </row>
    <row r="21" spans="1:13" ht="16" x14ac:dyDescent="0.35">
      <c r="A21" s="45" t="s">
        <v>94</v>
      </c>
      <c r="B21" s="43">
        <f>(B8/B4)*365</f>
        <v>23.816166900787902</v>
      </c>
      <c r="C21" s="43">
        <f t="shared" ref="C21:K21" si="5">(C8/C4)*365</f>
        <v>29.350370597403764</v>
      </c>
      <c r="D21" s="43">
        <f t="shared" si="5"/>
        <v>23.596364576609634</v>
      </c>
      <c r="E21" s="43">
        <f t="shared" si="5"/>
        <v>21.740748621444517</v>
      </c>
      <c r="F21" s="43">
        <f t="shared" si="5"/>
        <v>25.76436830477828</v>
      </c>
      <c r="G21" s="43">
        <f t="shared" si="5"/>
        <v>22.673242439669771</v>
      </c>
      <c r="H21" s="43">
        <f t="shared" si="5"/>
        <v>14.966730815189363</v>
      </c>
      <c r="I21" s="43">
        <f t="shared" si="5"/>
        <v>20.969360977050638</v>
      </c>
      <c r="J21" s="43">
        <f t="shared" si="5"/>
        <v>24.492122493246125</v>
      </c>
      <c r="K21" s="43">
        <f t="shared" si="5"/>
        <v>29.794224103051977</v>
      </c>
      <c r="L21" s="7"/>
      <c r="M21" t="str">
        <f t="shared" ca="1" si="0"/>
        <v/>
      </c>
    </row>
    <row r="22" spans="1:13" ht="16" x14ac:dyDescent="0.35">
      <c r="A22" s="45" t="s">
        <v>95</v>
      </c>
      <c r="B22" s="43">
        <f>(B9/$B$5)*365</f>
        <v>61.746769085844015</v>
      </c>
      <c r="C22" s="43">
        <f t="shared" ref="C22:K22" si="6">(C9/$B$5)*365</f>
        <v>69.031676677228731</v>
      </c>
      <c r="D22" s="43">
        <f t="shared" si="6"/>
        <v>67.204842553711842</v>
      </c>
      <c r="E22" s="43">
        <f t="shared" si="6"/>
        <v>79.038331609175444</v>
      </c>
      <c r="F22" s="43">
        <f t="shared" si="6"/>
        <v>82.190713881247859</v>
      </c>
      <c r="G22" s="43">
        <f t="shared" si="6"/>
        <v>90.740611583944471</v>
      </c>
      <c r="H22" s="43">
        <f t="shared" si="6"/>
        <v>124.94693106553571</v>
      </c>
      <c r="I22" s="43">
        <f t="shared" si="6"/>
        <v>138.8304218262104</v>
      </c>
      <c r="J22" s="43">
        <f t="shared" si="6"/>
        <v>137.23909118086328</v>
      </c>
      <c r="K22" s="43">
        <f t="shared" si="6"/>
        <v>128.95273308468998</v>
      </c>
      <c r="L22" s="7"/>
      <c r="M22" t="str">
        <f t="shared" ca="1" si="0"/>
        <v/>
      </c>
    </row>
    <row r="23" spans="1:13" ht="16" x14ac:dyDescent="0.35">
      <c r="A23" s="45" t="s">
        <v>96</v>
      </c>
      <c r="B23" s="43">
        <f t="shared" ref="B23:K23" si="7">(B14/$B$5)*365</f>
        <v>85.289266786881484</v>
      </c>
      <c r="C23" s="43">
        <f t="shared" si="7"/>
        <v>104.99193634861766</v>
      </c>
      <c r="D23" s="43">
        <f t="shared" si="7"/>
        <v>105.10071652662941</v>
      </c>
      <c r="E23" s="43">
        <f t="shared" si="7"/>
        <v>108.9618521234794</v>
      </c>
      <c r="F23" s="43">
        <f t="shared" si="7"/>
        <v>112.4977686314283</v>
      </c>
      <c r="G23" s="43">
        <f t="shared" si="7"/>
        <v>117.66875214495585</v>
      </c>
      <c r="H23" s="43">
        <f t="shared" si="7"/>
        <v>168.37152954977202</v>
      </c>
      <c r="I23" s="43">
        <f t="shared" si="7"/>
        <v>181.3085206172311</v>
      </c>
      <c r="J23" s="43">
        <f t="shared" si="7"/>
        <v>209.10241682179989</v>
      </c>
      <c r="K23" s="43">
        <f t="shared" si="7"/>
        <v>237.4121777880739</v>
      </c>
      <c r="L23" s="7"/>
      <c r="M23" t="str">
        <f t="shared" ca="1" si="0"/>
        <v/>
      </c>
    </row>
    <row r="24" spans="1:13" ht="16" x14ac:dyDescent="0.35">
      <c r="A24" s="45"/>
      <c r="B24" s="43"/>
      <c r="C24" s="43"/>
      <c r="D24" s="43"/>
      <c r="E24" s="43"/>
      <c r="F24" s="43"/>
      <c r="G24" s="43"/>
      <c r="H24" s="43"/>
      <c r="I24" s="43"/>
      <c r="J24" s="43"/>
      <c r="K24" s="43"/>
      <c r="L24" s="7"/>
      <c r="M24" t="str">
        <f t="shared" ca="1" si="0"/>
        <v/>
      </c>
    </row>
    <row r="25" spans="1:13" ht="16" x14ac:dyDescent="0.35">
      <c r="A25" s="45" t="s">
        <v>104</v>
      </c>
      <c r="B25" s="43">
        <f>B10/B$4</f>
        <v>0.19442017203302034</v>
      </c>
      <c r="C25" s="43">
        <f>C10/C$4</f>
        <v>0.24512504625459272</v>
      </c>
      <c r="D25" s="43">
        <f t="shared" ref="D25:K25" si="8">D10/D$4</f>
        <v>0.28507555082458547</v>
      </c>
      <c r="E25" s="43">
        <f t="shared" si="8"/>
        <v>0.15799381858967199</v>
      </c>
      <c r="F25" s="43">
        <f t="shared" si="8"/>
        <v>0.15746856645045154</v>
      </c>
      <c r="G25" s="43">
        <f t="shared" si="8"/>
        <v>0.33505640822671173</v>
      </c>
      <c r="H25" s="43">
        <f t="shared" si="8"/>
        <v>0.19969197528534913</v>
      </c>
      <c r="I25" s="43">
        <f t="shared" si="8"/>
        <v>0.11381307046902044</v>
      </c>
      <c r="J25" s="43">
        <f t="shared" si="8"/>
        <v>4.9712421262310215E-2</v>
      </c>
      <c r="K25" s="43">
        <f t="shared" si="8"/>
        <v>0.16976784874629577</v>
      </c>
      <c r="L25" s="7"/>
      <c r="M25" t="str">
        <f t="shared" ca="1" si="0"/>
        <v/>
      </c>
    </row>
    <row r="26" spans="1:13" ht="16" x14ac:dyDescent="0.35">
      <c r="A26" s="45" t="s">
        <v>105</v>
      </c>
      <c r="B26" s="43">
        <f t="shared" ref="B26:K26" si="9">B15/B$4</f>
        <v>3.0271691240178863E-2</v>
      </c>
      <c r="C26" s="43">
        <f t="shared" si="9"/>
        <v>2.5160629585745688E-2</v>
      </c>
      <c r="D26" s="43">
        <f t="shared" si="9"/>
        <v>2.3450387096530665E-2</v>
      </c>
      <c r="E26" s="43">
        <f t="shared" si="9"/>
        <v>1.9669435197974618E-2</v>
      </c>
      <c r="F26" s="43">
        <f t="shared" si="9"/>
        <v>5.0792637241516503E-2</v>
      </c>
      <c r="G26" s="43">
        <f t="shared" si="9"/>
        <v>2.8058085551546222E-2</v>
      </c>
      <c r="H26" s="43">
        <f t="shared" si="9"/>
        <v>2.9867496264990679E-2</v>
      </c>
      <c r="I26" s="43">
        <f t="shared" si="9"/>
        <v>2.7758451912772413E-2</v>
      </c>
      <c r="J26" s="43">
        <f t="shared" si="9"/>
        <v>2.8019519241495976E-2</v>
      </c>
      <c r="K26" s="43">
        <f t="shared" si="9"/>
        <v>3.0593008124747134E-2</v>
      </c>
      <c r="L26" s="7"/>
      <c r="M26" t="str">
        <f t="shared" ca="1" si="0"/>
        <v/>
      </c>
    </row>
    <row r="27" spans="1:13" ht="16" x14ac:dyDescent="0.35">
      <c r="B27" s="34"/>
      <c r="C27" s="23"/>
      <c r="D27" s="23"/>
      <c r="E27" s="23"/>
      <c r="F27" s="23"/>
      <c r="G27" s="23"/>
      <c r="H27" s="23"/>
      <c r="I27" s="23"/>
      <c r="J27" s="23"/>
      <c r="K27" s="23"/>
      <c r="L27" s="23"/>
    </row>
    <row r="34" spans="2:11" x14ac:dyDescent="0.35">
      <c r="B34" s="24"/>
      <c r="C34" s="24"/>
      <c r="D34" s="24"/>
      <c r="E34" s="24"/>
      <c r="F34" s="24"/>
      <c r="G34" s="24"/>
      <c r="H34" s="24"/>
      <c r="I34" s="24"/>
      <c r="J34" s="24"/>
      <c r="K34" s="24"/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64A0C-6591-4E9F-9FFC-2B41D6D58A03}">
  <dimension ref="A1:O15"/>
  <sheetViews>
    <sheetView topLeftCell="A7" zoomScale="85" zoomScaleNormal="85" workbookViewId="0">
      <selection activeCell="A4" sqref="A4"/>
    </sheetView>
  </sheetViews>
  <sheetFormatPr defaultRowHeight="18.5" x14ac:dyDescent="0.45"/>
  <cols>
    <col min="1" max="1" width="39.7265625" style="70" customWidth="1"/>
    <col min="2" max="2" width="11.08984375" style="70" customWidth="1"/>
    <col min="3" max="3" width="10.81640625" style="70" customWidth="1"/>
    <col min="4" max="4" width="10.54296875" style="70" customWidth="1"/>
    <col min="5" max="5" width="10.36328125" style="70" customWidth="1"/>
    <col min="6" max="6" width="10.453125" style="70" customWidth="1"/>
    <col min="7" max="7" width="10.6328125" style="70" customWidth="1"/>
    <col min="8" max="8" width="9.81640625" style="70" customWidth="1"/>
    <col min="9" max="9" width="11" style="70" bestFit="1" customWidth="1"/>
    <col min="10" max="10" width="10.36328125" style="70" customWidth="1"/>
    <col min="11" max="11" width="11.81640625" style="70" bestFit="1" customWidth="1"/>
    <col min="12" max="12" width="13.36328125" style="70" customWidth="1"/>
    <col min="13" max="13" width="8.81640625" style="70" bestFit="1" customWidth="1"/>
    <col min="14" max="14" width="11" style="70" bestFit="1" customWidth="1"/>
    <col min="15" max="16384" width="8.7265625" style="70"/>
  </cols>
  <sheetData>
    <row r="1" spans="1:15" x14ac:dyDescent="0.45">
      <c r="A1" s="69" t="s">
        <v>0</v>
      </c>
    </row>
    <row r="2" spans="1:15" x14ac:dyDescent="0.45">
      <c r="A2" s="36" t="s">
        <v>52</v>
      </c>
    </row>
    <row r="3" spans="1:15" x14ac:dyDescent="0.45">
      <c r="A3" s="62" t="s">
        <v>16</v>
      </c>
      <c r="B3" s="62">
        <v>2015</v>
      </c>
      <c r="C3" s="62">
        <v>2016</v>
      </c>
      <c r="D3" s="62">
        <v>2017</v>
      </c>
      <c r="E3" s="62">
        <v>2018</v>
      </c>
      <c r="F3" s="62">
        <v>2019</v>
      </c>
      <c r="G3" s="62">
        <v>2020</v>
      </c>
      <c r="H3" s="62">
        <v>2021</v>
      </c>
      <c r="I3" s="62">
        <v>2022</v>
      </c>
      <c r="J3" s="62">
        <v>2023</v>
      </c>
      <c r="K3" s="62">
        <v>2024</v>
      </c>
      <c r="L3" s="62">
        <v>2025</v>
      </c>
    </row>
    <row r="4" spans="1:15" x14ac:dyDescent="0.45">
      <c r="A4" s="62"/>
      <c r="B4" s="62">
        <v>1</v>
      </c>
      <c r="C4" s="62">
        <v>2</v>
      </c>
      <c r="D4" s="62">
        <v>3</v>
      </c>
      <c r="E4" s="62">
        <v>4</v>
      </c>
      <c r="F4" s="62">
        <v>5</v>
      </c>
      <c r="G4" s="62">
        <v>6</v>
      </c>
      <c r="H4" s="62">
        <v>7</v>
      </c>
      <c r="I4" s="62">
        <v>8</v>
      </c>
      <c r="J4" s="62">
        <v>9</v>
      </c>
      <c r="K4" s="62">
        <v>10</v>
      </c>
      <c r="L4" s="62">
        <v>11</v>
      </c>
    </row>
    <row r="5" spans="1:15" x14ac:dyDescent="0.45">
      <c r="A5" s="71" t="s">
        <v>9</v>
      </c>
      <c r="B5" s="72" cm="1">
        <f t="array" ref="B5:K5">IFERROR(VLOOKUP($A5, INPUT!$A$2:$K$173, MATCH($B$3:$K$3, INPUT!$A$2:$K$2, 1), FALSE),"")</f>
        <v>1291.3</v>
      </c>
      <c r="C5" s="72">
        <v>865.1</v>
      </c>
      <c r="D5" s="72">
        <v>830.4</v>
      </c>
      <c r="E5" s="72">
        <v>854.9</v>
      </c>
      <c r="F5" s="72">
        <v>1096.0999999999999</v>
      </c>
      <c r="G5" s="72">
        <v>892.8</v>
      </c>
      <c r="H5" s="72">
        <v>1602.5</v>
      </c>
      <c r="I5" s="72">
        <v>2707.4</v>
      </c>
      <c r="J5" s="72">
        <v>3208</v>
      </c>
      <c r="K5" s="72">
        <v>2156.8000000000002</v>
      </c>
      <c r="L5" s="73">
        <f>_xlfn.FORECAST.LINEAR(L4,_xlfn.ANCHORARRAY(B5),B4:K4)</f>
        <v>2737.6733333333332</v>
      </c>
    </row>
    <row r="6" spans="1:15" x14ac:dyDescent="0.45">
      <c r="A6" s="71" t="s">
        <v>109</v>
      </c>
      <c r="B6" s="72"/>
      <c r="C6" s="73">
        <f>C5-B5</f>
        <v>-426.19999999999993</v>
      </c>
      <c r="D6" s="73">
        <f t="shared" ref="D6:L6" si="0">D5-C5</f>
        <v>-34.700000000000045</v>
      </c>
      <c r="E6" s="73">
        <f t="shared" si="0"/>
        <v>24.5</v>
      </c>
      <c r="F6" s="73">
        <f t="shared" si="0"/>
        <v>241.19999999999993</v>
      </c>
      <c r="G6" s="73">
        <f t="shared" si="0"/>
        <v>-203.29999999999995</v>
      </c>
      <c r="H6" s="73">
        <f t="shared" si="0"/>
        <v>709.7</v>
      </c>
      <c r="I6" s="73">
        <f t="shared" si="0"/>
        <v>1104.9000000000001</v>
      </c>
      <c r="J6" s="73">
        <f t="shared" si="0"/>
        <v>500.59999999999991</v>
      </c>
      <c r="K6" s="73">
        <f t="shared" si="0"/>
        <v>-1051.1999999999998</v>
      </c>
      <c r="L6" s="73">
        <f t="shared" si="0"/>
        <v>580.87333333333299</v>
      </c>
      <c r="N6" s="70" t="s">
        <v>111</v>
      </c>
    </row>
    <row r="7" spans="1:15" x14ac:dyDescent="0.45">
      <c r="A7" s="71"/>
      <c r="B7" s="72"/>
      <c r="C7" s="72"/>
      <c r="D7" s="72"/>
      <c r="E7" s="72"/>
      <c r="F7" s="72"/>
      <c r="G7" s="72"/>
      <c r="H7" s="72"/>
      <c r="I7" s="72"/>
      <c r="J7" s="72"/>
      <c r="K7" s="72"/>
      <c r="L7" s="72"/>
    </row>
    <row r="8" spans="1:15" x14ac:dyDescent="0.45">
      <c r="A8" s="71" t="s">
        <v>61</v>
      </c>
      <c r="B8" s="72" cm="1">
        <f t="array" ref="B8:K8">IFERROR(VLOOKUP($A8, INPUT!$A$2:$K$173, MATCH($B$3:$K$3, INPUT!$A$2:$K$2, 1), FALSE),"")</f>
        <v>0</v>
      </c>
      <c r="C8" s="72">
        <v>7.2</v>
      </c>
      <c r="D8" s="72">
        <v>2006.4</v>
      </c>
      <c r="E8" s="72">
        <v>2010.4</v>
      </c>
      <c r="F8" s="72">
        <v>260.5</v>
      </c>
      <c r="G8" s="72">
        <v>246.8</v>
      </c>
      <c r="H8" s="72">
        <v>196.2</v>
      </c>
      <c r="I8" s="72">
        <v>2894.4</v>
      </c>
      <c r="J8" s="72">
        <v>2946.6</v>
      </c>
      <c r="K8" s="72">
        <v>5602.8</v>
      </c>
      <c r="L8" s="71">
        <f>K8</f>
        <v>5602.8</v>
      </c>
      <c r="N8" s="74">
        <f>_xlfn.FORECAST.LINEAR(L4,_xlfn.ANCHORARRAY(B8),B4:K4)</f>
        <v>3949.9533333333329</v>
      </c>
      <c r="O8" s="70" t="s">
        <v>110</v>
      </c>
    </row>
    <row r="9" spans="1:15" x14ac:dyDescent="0.45">
      <c r="A9" s="72" t="s">
        <v>112</v>
      </c>
      <c r="B9" s="72"/>
      <c r="C9" s="72">
        <f>C8-B8</f>
        <v>7.2</v>
      </c>
      <c r="D9" s="72">
        <f t="shared" ref="D9:L9" si="1">D8-C8</f>
        <v>1999.2</v>
      </c>
      <c r="E9" s="72">
        <f t="shared" si="1"/>
        <v>4</v>
      </c>
      <c r="F9" s="72">
        <f t="shared" si="1"/>
        <v>-1749.9</v>
      </c>
      <c r="G9" s="72">
        <f t="shared" si="1"/>
        <v>-13.699999999999989</v>
      </c>
      <c r="H9" s="72">
        <f t="shared" si="1"/>
        <v>-50.600000000000023</v>
      </c>
      <c r="I9" s="72">
        <f t="shared" si="1"/>
        <v>2698.2000000000003</v>
      </c>
      <c r="J9" s="72">
        <f t="shared" si="1"/>
        <v>52.199999999999818</v>
      </c>
      <c r="K9" s="72">
        <f t="shared" si="1"/>
        <v>2656.2000000000003</v>
      </c>
      <c r="L9" s="72">
        <f t="shared" si="1"/>
        <v>0</v>
      </c>
    </row>
    <row r="10" spans="1:15" x14ac:dyDescent="0.45">
      <c r="A10" s="71"/>
      <c r="B10" s="71"/>
      <c r="C10" s="72"/>
      <c r="D10" s="72"/>
      <c r="E10" s="72"/>
      <c r="F10" s="72"/>
      <c r="G10" s="72"/>
      <c r="H10" s="72"/>
      <c r="I10" s="72"/>
      <c r="J10" s="72"/>
      <c r="K10" s="72"/>
      <c r="L10" s="72"/>
    </row>
    <row r="11" spans="1:15" x14ac:dyDescent="0.45">
      <c r="A11" s="72"/>
      <c r="B11" s="72"/>
      <c r="C11" s="72"/>
      <c r="D11" s="72"/>
      <c r="E11" s="72"/>
      <c r="F11" s="72"/>
      <c r="G11" s="72"/>
      <c r="H11" s="72"/>
      <c r="I11" s="72"/>
      <c r="J11" s="72"/>
      <c r="K11" s="72"/>
      <c r="L11" s="71"/>
    </row>
    <row r="12" spans="1:15" x14ac:dyDescent="0.45">
      <c r="A12" s="62" t="s">
        <v>49</v>
      </c>
      <c r="B12" s="72">
        <f>B8+B5</f>
        <v>1291.3</v>
      </c>
      <c r="C12" s="62">
        <f>C8+C5</f>
        <v>872.30000000000007</v>
      </c>
      <c r="D12" s="62">
        <f t="shared" ref="D12:L12" si="2">D8+D5</f>
        <v>2836.8</v>
      </c>
      <c r="E12" s="62">
        <f t="shared" si="2"/>
        <v>2865.3</v>
      </c>
      <c r="F12" s="62">
        <f t="shared" si="2"/>
        <v>1356.6</v>
      </c>
      <c r="G12" s="62">
        <f t="shared" si="2"/>
        <v>1139.5999999999999</v>
      </c>
      <c r="H12" s="62">
        <f t="shared" si="2"/>
        <v>1798.7</v>
      </c>
      <c r="I12" s="62">
        <f t="shared" si="2"/>
        <v>5601.8</v>
      </c>
      <c r="J12" s="62">
        <f t="shared" si="2"/>
        <v>6154.6</v>
      </c>
      <c r="K12" s="62">
        <f t="shared" si="2"/>
        <v>7759.6</v>
      </c>
      <c r="L12" s="62">
        <f t="shared" si="2"/>
        <v>8340.4733333333334</v>
      </c>
    </row>
    <row r="13" spans="1:15" x14ac:dyDescent="0.45">
      <c r="A13" s="62" t="s">
        <v>50</v>
      </c>
      <c r="B13" s="72"/>
      <c r="C13" s="72">
        <f>(B12+C12)/2</f>
        <v>1081.8</v>
      </c>
      <c r="D13" s="72">
        <f t="shared" ref="D13:L13" si="3">(C12+D12)/2</f>
        <v>1854.5500000000002</v>
      </c>
      <c r="E13" s="72">
        <f t="shared" si="3"/>
        <v>2851.05</v>
      </c>
      <c r="F13" s="72">
        <f t="shared" si="3"/>
        <v>2110.9499999999998</v>
      </c>
      <c r="G13" s="72">
        <f t="shared" si="3"/>
        <v>1248.0999999999999</v>
      </c>
      <c r="H13" s="72">
        <f t="shared" si="3"/>
        <v>1469.15</v>
      </c>
      <c r="I13" s="72">
        <f t="shared" si="3"/>
        <v>3700.25</v>
      </c>
      <c r="J13" s="72">
        <f t="shared" si="3"/>
        <v>5878.2000000000007</v>
      </c>
      <c r="K13" s="72">
        <f t="shared" si="3"/>
        <v>6957.1</v>
      </c>
      <c r="L13" s="72">
        <f t="shared" si="3"/>
        <v>8050.0366666666669</v>
      </c>
    </row>
    <row r="14" spans="1:15" x14ac:dyDescent="0.45">
      <c r="A14" s="62" t="s">
        <v>21</v>
      </c>
      <c r="B14" s="72" cm="1">
        <f t="array" ref="B14:K14">IFERROR(VLOOKUP($A14, INPUT!$A$2:$K$70, MATCH($B$3:$K$3, INPUT!$A$2:$K$2, 1), FALSE),"")</f>
        <v>51.4</v>
      </c>
      <c r="C14" s="72">
        <v>36.299999999999997</v>
      </c>
      <c r="D14" s="72">
        <v>162.1</v>
      </c>
      <c r="E14" s="72">
        <v>182.4</v>
      </c>
      <c r="F14" s="72">
        <v>259.89999999999998</v>
      </c>
      <c r="G14" s="72">
        <v>174.2</v>
      </c>
      <c r="H14" s="72">
        <v>86.8</v>
      </c>
      <c r="I14" s="72">
        <v>181.9</v>
      </c>
      <c r="J14" s="72">
        <v>457.7</v>
      </c>
      <c r="K14" s="72">
        <v>801.2</v>
      </c>
      <c r="L14" s="73">
        <f>L13*L15</f>
        <v>927.06578564823474</v>
      </c>
    </row>
    <row r="15" spans="1:15" x14ac:dyDescent="0.45">
      <c r="A15" s="62" t="s">
        <v>51</v>
      </c>
      <c r="B15" s="72"/>
      <c r="C15" s="72"/>
      <c r="D15" s="75">
        <f>D14/D13</f>
        <v>8.7406648513116372E-2</v>
      </c>
      <c r="E15" s="75">
        <f t="shared" ref="E15:K15" si="4">E14/E13</f>
        <v>6.3976429736412904E-2</v>
      </c>
      <c r="F15" s="75">
        <f t="shared" si="4"/>
        <v>0.12311992230986049</v>
      </c>
      <c r="G15" s="75">
        <f t="shared" si="4"/>
        <v>0.13957214966749459</v>
      </c>
      <c r="H15" s="75">
        <f t="shared" si="4"/>
        <v>5.908178198277915E-2</v>
      </c>
      <c r="I15" s="75">
        <f t="shared" si="4"/>
        <v>4.9158840618877105E-2</v>
      </c>
      <c r="J15" s="75">
        <f t="shared" si="4"/>
        <v>7.7863971964206719E-2</v>
      </c>
      <c r="K15" s="75">
        <f t="shared" si="4"/>
        <v>0.11516292708168634</v>
      </c>
      <c r="L15" s="76">
        <f>K15</f>
        <v>0.11516292708168634</v>
      </c>
      <c r="M15" s="70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E68CBE-58E2-49FA-9F3F-5B8DC1FA1565}">
  <dimension ref="A1:N14"/>
  <sheetViews>
    <sheetView workbookViewId="0">
      <selection activeCell="A13" sqref="A13"/>
    </sheetView>
  </sheetViews>
  <sheetFormatPr defaultRowHeight="14.5" x14ac:dyDescent="0.35"/>
  <cols>
    <col min="1" max="1" width="35" customWidth="1"/>
    <col min="2" max="2" width="14.453125" customWidth="1"/>
    <col min="3" max="3" width="12.81640625" customWidth="1"/>
    <col min="4" max="4" width="13.54296875" bestFit="1" customWidth="1"/>
    <col min="13" max="13" width="16" customWidth="1"/>
  </cols>
  <sheetData>
    <row r="1" spans="1:14" x14ac:dyDescent="0.35">
      <c r="A1" s="1" t="s">
        <v>0</v>
      </c>
      <c r="B1" s="1"/>
    </row>
    <row r="2" spans="1:14" ht="18" thickBot="1" x14ac:dyDescent="0.5">
      <c r="A2" s="63" t="s">
        <v>48</v>
      </c>
      <c r="B2" s="63"/>
    </row>
    <row r="3" spans="1:14" ht="18" thickBot="1" x14ac:dyDescent="0.4">
      <c r="A3" s="64" t="s">
        <v>1</v>
      </c>
      <c r="B3" s="64"/>
      <c r="C3" s="2">
        <v>2015</v>
      </c>
      <c r="D3" s="2">
        <v>2016</v>
      </c>
      <c r="E3" s="2">
        <v>2017</v>
      </c>
      <c r="F3" s="2">
        <v>2018</v>
      </c>
      <c r="G3" s="2">
        <v>2019</v>
      </c>
      <c r="H3" s="2">
        <v>2020</v>
      </c>
      <c r="I3" s="2">
        <v>2021</v>
      </c>
      <c r="J3" s="2">
        <v>2022</v>
      </c>
      <c r="K3" s="2">
        <v>2023</v>
      </c>
      <c r="L3" s="2">
        <v>2024</v>
      </c>
      <c r="M3" s="64">
        <v>2025</v>
      </c>
    </row>
    <row r="4" spans="1:14" ht="18" thickBot="1" x14ac:dyDescent="0.4">
      <c r="A4" s="65"/>
      <c r="B4" s="65"/>
      <c r="C4" s="2">
        <v>1</v>
      </c>
      <c r="D4" s="2">
        <v>2</v>
      </c>
      <c r="E4" s="2">
        <v>3</v>
      </c>
      <c r="F4" s="2">
        <v>4</v>
      </c>
      <c r="G4" s="2">
        <v>5</v>
      </c>
      <c r="H4" s="2">
        <v>6</v>
      </c>
      <c r="I4" s="2">
        <v>7</v>
      </c>
      <c r="J4" s="2">
        <v>8</v>
      </c>
      <c r="K4" s="2">
        <v>9</v>
      </c>
      <c r="L4" s="2">
        <v>10</v>
      </c>
      <c r="M4" s="2">
        <v>11</v>
      </c>
    </row>
    <row r="5" spans="1:14" ht="16.5" thickBot="1" x14ac:dyDescent="0.4">
      <c r="A5" t="s">
        <v>6</v>
      </c>
      <c r="B5" t="s">
        <v>53</v>
      </c>
      <c r="C5" s="66" cm="1">
        <f t="array" ref="C5:L5">IFERROR(VLOOKUP($A5, INPUT!$A$2:$K$70, MATCH($C$3:$L$3, INPUT!$A$2:$K$2, 1), FALSE),"")</f>
        <v>6624.3</v>
      </c>
      <c r="D5" s="5">
        <v>6217.7</v>
      </c>
      <c r="E5" s="5">
        <v>9291.7999999999993</v>
      </c>
      <c r="F5" s="5">
        <v>9713.4</v>
      </c>
      <c r="G5" s="5">
        <v>9718.7999999999993</v>
      </c>
      <c r="H5" s="5">
        <v>10607.5</v>
      </c>
      <c r="I5" s="5">
        <v>11310</v>
      </c>
      <c r="J5" s="5">
        <v>13291.9</v>
      </c>
      <c r="K5" s="5">
        <v>15955.8</v>
      </c>
      <c r="L5" s="5">
        <v>18100.099999999999</v>
      </c>
      <c r="M5" s="12">
        <f>L5+M9</f>
        <v>21450.351876040604</v>
      </c>
      <c r="N5">
        <v>4</v>
      </c>
    </row>
    <row r="6" spans="1:14" ht="16.5" thickBot="1" x14ac:dyDescent="0.4">
      <c r="A6" t="s">
        <v>6</v>
      </c>
      <c r="B6" t="s">
        <v>54</v>
      </c>
      <c r="C6" s="5" t="str">
        <f>IFERROR(VLOOKUP($A6, INPUT!$A$2:$K$70, MATCH(C$3-1, INPUT!$B$2:$K$2, 1), FALSE),"")</f>
        <v/>
      </c>
      <c r="D6" s="5">
        <f>C5</f>
        <v>6624.3</v>
      </c>
      <c r="E6" s="5">
        <f t="shared" ref="E6:L6" si="0">D5</f>
        <v>6217.7</v>
      </c>
      <c r="F6" s="5">
        <f t="shared" si="0"/>
        <v>9291.7999999999993</v>
      </c>
      <c r="G6" s="5">
        <f t="shared" si="0"/>
        <v>9713.4</v>
      </c>
      <c r="H6" s="5">
        <f t="shared" si="0"/>
        <v>9718.7999999999993</v>
      </c>
      <c r="I6" s="5">
        <f t="shared" si="0"/>
        <v>10607.5</v>
      </c>
      <c r="J6" s="5">
        <f t="shared" si="0"/>
        <v>11310</v>
      </c>
      <c r="K6" s="5">
        <f t="shared" si="0"/>
        <v>13291.9</v>
      </c>
      <c r="L6" s="5">
        <f t="shared" si="0"/>
        <v>15955.8</v>
      </c>
      <c r="M6" s="5"/>
    </row>
    <row r="7" spans="1:14" ht="18" thickBot="1" x14ac:dyDescent="0.4">
      <c r="A7" s="64" t="s">
        <v>55</v>
      </c>
      <c r="B7" s="64"/>
      <c r="C7" s="5"/>
      <c r="D7" s="5">
        <f>D5-D6</f>
        <v>-406.60000000000036</v>
      </c>
      <c r="E7" s="5">
        <f t="shared" ref="E7:L7" si="1">E5-E6</f>
        <v>3074.0999999999995</v>
      </c>
      <c r="F7" s="5">
        <f t="shared" si="1"/>
        <v>421.60000000000036</v>
      </c>
      <c r="G7" s="5">
        <f t="shared" si="1"/>
        <v>5.3999999999996362</v>
      </c>
      <c r="H7" s="5">
        <f t="shared" si="1"/>
        <v>888.70000000000073</v>
      </c>
      <c r="I7" s="5">
        <f t="shared" si="1"/>
        <v>702.5</v>
      </c>
      <c r="J7" s="5">
        <f t="shared" si="1"/>
        <v>1981.8999999999996</v>
      </c>
      <c r="K7" s="5">
        <f t="shared" si="1"/>
        <v>2663.8999999999996</v>
      </c>
      <c r="L7" s="5">
        <f t="shared" si="1"/>
        <v>2144.2999999999993</v>
      </c>
      <c r="M7" s="5"/>
    </row>
    <row r="8" spans="1:14" ht="18" thickBot="1" x14ac:dyDescent="0.4">
      <c r="A8" s="7" t="s">
        <v>20</v>
      </c>
      <c r="B8" s="64"/>
      <c r="C8" s="5" cm="1">
        <f t="array" ref="C8:L8">IFERROR(VLOOKUP($A8, INPUT!$A$2:$K$70, MATCH($C$3:$L$3, INPUT!$A$2:$K$2, 1), FALSE),"")</f>
        <v>647.20000000000005</v>
      </c>
      <c r="D8" s="5">
        <v>713.9</v>
      </c>
      <c r="E8" s="5">
        <v>735.9</v>
      </c>
      <c r="F8" s="5">
        <v>1000.3</v>
      </c>
      <c r="G8" s="5">
        <v>1059.9000000000001</v>
      </c>
      <c r="H8" s="5">
        <v>1268.5999999999999</v>
      </c>
      <c r="I8" s="5">
        <v>1400.8</v>
      </c>
      <c r="J8" s="5">
        <v>1570.6</v>
      </c>
      <c r="K8" s="5">
        <v>1842.3</v>
      </c>
      <c r="L8" s="5">
        <v>2046</v>
      </c>
      <c r="M8" s="12">
        <f>M5*M12</f>
        <v>2374.2368163205615</v>
      </c>
      <c r="N8">
        <v>5</v>
      </c>
    </row>
    <row r="9" spans="1:14" ht="18" thickBot="1" x14ac:dyDescent="0.4">
      <c r="A9" s="64" t="s">
        <v>56</v>
      </c>
      <c r="B9" s="64"/>
      <c r="C9" s="5"/>
      <c r="D9" s="5">
        <f>D7+D8</f>
        <v>307.29999999999961</v>
      </c>
      <c r="E9" s="5">
        <f t="shared" ref="E9:L9" si="2">E7+E8</f>
        <v>3809.9999999999995</v>
      </c>
      <c r="F9" s="5">
        <f t="shared" si="2"/>
        <v>1421.9000000000003</v>
      </c>
      <c r="G9" s="5">
        <f t="shared" si="2"/>
        <v>1065.2999999999997</v>
      </c>
      <c r="H9" s="5">
        <f t="shared" si="2"/>
        <v>2157.3000000000006</v>
      </c>
      <c r="I9" s="5">
        <f t="shared" si="2"/>
        <v>2103.3000000000002</v>
      </c>
      <c r="J9" s="5">
        <f t="shared" si="2"/>
        <v>3552.4999999999995</v>
      </c>
      <c r="K9" s="5">
        <f t="shared" si="2"/>
        <v>4506.2</v>
      </c>
      <c r="L9" s="5">
        <f t="shared" si="2"/>
        <v>4190.2999999999993</v>
      </c>
      <c r="M9" s="12">
        <f>IS!L5*PPE!M11</f>
        <v>3350.2518760406069</v>
      </c>
      <c r="N9">
        <v>3</v>
      </c>
    </row>
    <row r="10" spans="1:14" ht="18" thickBot="1" x14ac:dyDescent="0.4">
      <c r="A10" s="7" t="s">
        <v>17</v>
      </c>
      <c r="B10" s="64"/>
      <c r="C10" s="5" cm="1">
        <f t="array" ref="C10:L10">IFERROR(VLOOKUP($A10, INPUT!$A$2:$K$70, MATCH($C$3:$L$3, INPUT!$A$2:$K$2, 1), FALSE),"")</f>
        <v>54245.4</v>
      </c>
      <c r="D10" s="5">
        <v>53508.2</v>
      </c>
      <c r="E10" s="5">
        <v>52984.2</v>
      </c>
      <c r="F10" s="5">
        <v>55456.6</v>
      </c>
      <c r="G10" s="5">
        <v>62329.9</v>
      </c>
      <c r="H10" s="5">
        <v>62659.3</v>
      </c>
      <c r="I10" s="5">
        <v>71552.7</v>
      </c>
      <c r="J10" s="5">
        <v>81928.2</v>
      </c>
      <c r="K10" s="5">
        <v>86950.1</v>
      </c>
      <c r="L10" s="5">
        <v>91449</v>
      </c>
      <c r="M10" s="5"/>
    </row>
    <row r="11" spans="1:14" ht="18" thickBot="1" x14ac:dyDescent="0.4">
      <c r="A11" s="64" t="s">
        <v>46</v>
      </c>
      <c r="B11" s="64"/>
      <c r="C11" s="5"/>
      <c r="D11" s="67">
        <f>D9/D10</f>
        <v>5.7430449912349813E-3</v>
      </c>
      <c r="E11" s="67">
        <f t="shared" ref="E11:L11" si="3">E9/E10</f>
        <v>7.1908229245699659E-2</v>
      </c>
      <c r="F11" s="67">
        <f t="shared" si="3"/>
        <v>2.5639869735973722E-2</v>
      </c>
      <c r="G11" s="67">
        <f t="shared" si="3"/>
        <v>1.7091315724876821E-2</v>
      </c>
      <c r="H11" s="67">
        <f t="shared" si="3"/>
        <v>3.4429047244383525E-2</v>
      </c>
      <c r="I11" s="67">
        <f t="shared" si="3"/>
        <v>2.9395117165389988E-2</v>
      </c>
      <c r="J11" s="67">
        <f t="shared" si="3"/>
        <v>4.3361138167322115E-2</v>
      </c>
      <c r="K11" s="67">
        <f t="shared" si="3"/>
        <v>5.1825127285650037E-2</v>
      </c>
      <c r="L11" s="67">
        <f t="shared" si="3"/>
        <v>4.5821168082756498E-2</v>
      </c>
      <c r="M11" s="68">
        <f>AVERAGE(D11:L11)</f>
        <v>3.6134895293698593E-2</v>
      </c>
      <c r="N11">
        <v>1</v>
      </c>
    </row>
    <row r="12" spans="1:14" ht="18" thickBot="1" x14ac:dyDescent="0.4">
      <c r="A12" s="64" t="s">
        <v>47</v>
      </c>
      <c r="B12" s="64"/>
      <c r="C12" s="5"/>
      <c r="D12" s="67">
        <f>D8/D5</f>
        <v>0.11481737620020264</v>
      </c>
      <c r="E12" s="67">
        <f t="shared" ref="E12:L12" si="4">E8/E5</f>
        <v>7.9198863514066173E-2</v>
      </c>
      <c r="F12" s="67">
        <f t="shared" si="4"/>
        <v>0.10298144830852225</v>
      </c>
      <c r="G12" s="67">
        <f t="shared" si="4"/>
        <v>0.10905667366341526</v>
      </c>
      <c r="H12" s="67">
        <f t="shared" si="4"/>
        <v>0.11959462644355408</v>
      </c>
      <c r="I12" s="67">
        <f t="shared" si="4"/>
        <v>0.1238549955791335</v>
      </c>
      <c r="J12" s="67">
        <f t="shared" si="4"/>
        <v>0.11816218900232472</v>
      </c>
      <c r="K12" s="67">
        <f t="shared" si="4"/>
        <v>0.11546271575226563</v>
      </c>
      <c r="L12" s="67">
        <f t="shared" si="4"/>
        <v>0.1130380495135386</v>
      </c>
      <c r="M12" s="68">
        <f>AVERAGE(D12:L12)</f>
        <v>0.11068521533078031</v>
      </c>
      <c r="N12">
        <v>2</v>
      </c>
    </row>
    <row r="14" spans="1:14" x14ac:dyDescent="0.35">
      <c r="C14" s="24"/>
      <c r="D14" s="24"/>
      <c r="E14" s="24"/>
      <c r="F14" s="24"/>
      <c r="G14" s="24"/>
      <c r="H14" s="24"/>
      <c r="I14" s="24"/>
      <c r="J14" s="24"/>
      <c r="K14" s="24"/>
      <c r="L14" s="2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INPUT</vt:lpstr>
      <vt:lpstr>IS</vt:lpstr>
      <vt:lpstr>BS</vt:lpstr>
      <vt:lpstr>WC</vt:lpstr>
      <vt:lpstr>Debt</vt:lpstr>
      <vt:lpstr>PPE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</dc:creator>
  <cp:lastModifiedBy>Office</cp:lastModifiedBy>
  <dcterms:created xsi:type="dcterms:W3CDTF">2025-06-19T04:58:41Z</dcterms:created>
  <dcterms:modified xsi:type="dcterms:W3CDTF">2025-06-25T15:18:58Z</dcterms:modified>
</cp:coreProperties>
</file>