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 work- Sri\Dissertation writing\Chapter by Chapter sent to Prof H\Writing dissertation thesis\Writing\"/>
    </mc:Choice>
  </mc:AlternateContent>
  <xr:revisionPtr revIDLastSave="0" documentId="8_{0B75D7AD-E888-4010-A114-5DF6830AA270}" xr6:coauthVersionLast="47" xr6:coauthVersionMax="47" xr10:uidLastSave="{00000000-0000-0000-0000-000000000000}"/>
  <bookViews>
    <workbookView xWindow="-90" yWindow="-90" windowWidth="19380" windowHeight="11460" firstSheet="4" activeTab="5" xr2:uid="{00000000-000D-0000-FFFF-FFFF00000000}"/>
  </bookViews>
  <sheets>
    <sheet name="district" sheetId="1" state="hidden" r:id="rId1"/>
    <sheet name="Lc_Infor (2)" sheetId="3" state="hidden" r:id="rId2"/>
    <sheet name="Ttest_Ftest" sheetId="4" state="hidden" r:id="rId3"/>
    <sheet name="Lc_Infor (result)" sheetId="6" state="hidden" r:id="rId4"/>
    <sheet name="res" sheetId="7" r:id="rId5"/>
    <sheet name="graph1" sheetId="8" r:id="rId6"/>
    <sheet name="Sheet2" sheetId="9" r:id="rId7"/>
    <sheet name="res (2)" sheetId="10" r:id="rId8"/>
    <sheet name="res (3)" sheetId="11" r:id="rId9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Ttest_Ftest!$D$15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7" i="11" l="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AK66" i="11" s="1"/>
  <c r="P66" i="11"/>
  <c r="AJ65" i="11"/>
  <c r="AI65" i="11"/>
  <c r="AH65" i="11"/>
  <c r="AG65" i="11"/>
  <c r="AF65" i="11"/>
  <c r="AE65" i="11"/>
  <c r="AD65" i="11"/>
  <c r="AC65" i="11"/>
  <c r="AB65" i="11"/>
  <c r="AA65" i="11"/>
  <c r="Z65" i="11"/>
  <c r="AL65" i="11" s="1"/>
  <c r="AP65" i="11" s="1"/>
  <c r="Q65" i="11" s="1"/>
  <c r="Y65" i="11"/>
  <c r="AK65" i="11" s="1"/>
  <c r="P65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P64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P63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AK62" i="11" s="1"/>
  <c r="P62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P61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P60" i="11"/>
  <c r="AJ59" i="11"/>
  <c r="AI59" i="11"/>
  <c r="AH59" i="11"/>
  <c r="AG59" i="11"/>
  <c r="AF59" i="11"/>
  <c r="AE59" i="11"/>
  <c r="AD59" i="11"/>
  <c r="AC59" i="11"/>
  <c r="AB59" i="11"/>
  <c r="AA59" i="11"/>
  <c r="Z59" i="11"/>
  <c r="AL59" i="11" s="1"/>
  <c r="AP59" i="11" s="1"/>
  <c r="Q59" i="11" s="1"/>
  <c r="Y59" i="11"/>
  <c r="AK59" i="11" s="1"/>
  <c r="P59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AK58" i="11" s="1"/>
  <c r="P58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P57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P56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AK55" i="11" s="1"/>
  <c r="P55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P54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P53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P52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AK51" i="11" s="1"/>
  <c r="P51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AK50" i="11" s="1"/>
  <c r="P50" i="11"/>
  <c r="AJ49" i="11"/>
  <c r="AI49" i="11"/>
  <c r="AH49" i="11"/>
  <c r="AG49" i="11"/>
  <c r="AF49" i="11"/>
  <c r="AE49" i="11"/>
  <c r="AD49" i="11"/>
  <c r="AC49" i="11"/>
  <c r="AB49" i="11"/>
  <c r="AA49" i="11"/>
  <c r="Z49" i="11"/>
  <c r="AL49" i="11" s="1"/>
  <c r="AP49" i="11" s="1"/>
  <c r="Q49" i="11" s="1"/>
  <c r="Y49" i="11"/>
  <c r="AK49" i="11" s="1"/>
  <c r="P49" i="11"/>
  <c r="AJ48" i="11"/>
  <c r="AI48" i="11"/>
  <c r="AH48" i="11"/>
  <c r="AG48" i="11"/>
  <c r="AF48" i="11"/>
  <c r="AE48" i="11"/>
  <c r="AD48" i="11"/>
  <c r="AC48" i="11"/>
  <c r="AB48" i="11"/>
  <c r="AA48" i="11"/>
  <c r="Z48" i="11"/>
  <c r="AL48" i="11" s="1"/>
  <c r="AP48" i="11" s="1"/>
  <c r="Q48" i="11" s="1"/>
  <c r="Y48" i="11"/>
  <c r="AK48" i="11" s="1"/>
  <c r="P48" i="11"/>
  <c r="AJ47" i="11"/>
  <c r="AI47" i="11"/>
  <c r="AH47" i="11"/>
  <c r="AG47" i="11"/>
  <c r="AF47" i="11"/>
  <c r="AE47" i="11"/>
  <c r="AD47" i="11"/>
  <c r="AC47" i="11"/>
  <c r="AB47" i="11"/>
  <c r="AA47" i="11"/>
  <c r="Z47" i="11"/>
  <c r="AL47" i="11" s="1"/>
  <c r="AP47" i="11" s="1"/>
  <c r="Q47" i="11" s="1"/>
  <c r="Y47" i="11"/>
  <c r="AK47" i="11" s="1"/>
  <c r="P47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AK46" i="11" s="1"/>
  <c r="P46" i="11"/>
  <c r="O35" i="11"/>
  <c r="N35" i="11"/>
  <c r="M35" i="11"/>
  <c r="N37" i="11" s="1"/>
  <c r="L35" i="11"/>
  <c r="K35" i="11"/>
  <c r="J35" i="11"/>
  <c r="I35" i="11"/>
  <c r="J37" i="11" s="1"/>
  <c r="H35" i="11"/>
  <c r="G35" i="11"/>
  <c r="F35" i="11"/>
  <c r="F15" i="11" s="1"/>
  <c r="E35" i="11"/>
  <c r="D35" i="11"/>
  <c r="C35" i="11"/>
  <c r="C36" i="11" s="1"/>
  <c r="N15" i="11"/>
  <c r="L15" i="11"/>
  <c r="J15" i="11"/>
  <c r="O14" i="11"/>
  <c r="O17" i="11" s="1"/>
  <c r="O18" i="11" s="1"/>
  <c r="N14" i="11"/>
  <c r="M14" i="11"/>
  <c r="L14" i="11"/>
  <c r="L36" i="11" s="1"/>
  <c r="K14" i="11"/>
  <c r="J14" i="11"/>
  <c r="I14" i="11"/>
  <c r="H14" i="11"/>
  <c r="H36" i="11" s="1"/>
  <c r="G14" i="11"/>
  <c r="F14" i="11"/>
  <c r="E14" i="11"/>
  <c r="D14" i="11"/>
  <c r="C14" i="11"/>
  <c r="D17" i="11" s="1"/>
  <c r="D18" i="11" s="1"/>
  <c r="L84" i="10"/>
  <c r="M85" i="10"/>
  <c r="M84" i="10"/>
  <c r="L82" i="10" s="1"/>
  <c r="P46" i="10"/>
  <c r="P62" i="10"/>
  <c r="P63" i="10"/>
  <c r="P64" i="10"/>
  <c r="P65" i="10"/>
  <c r="P66" i="10"/>
  <c r="P56" i="10"/>
  <c r="P57" i="10"/>
  <c r="P58" i="10"/>
  <c r="P59" i="10"/>
  <c r="P60" i="10"/>
  <c r="P61" i="10"/>
  <c r="P52" i="10"/>
  <c r="P53" i="10"/>
  <c r="P54" i="10"/>
  <c r="P55" i="10"/>
  <c r="P47" i="10"/>
  <c r="P48" i="10"/>
  <c r="P49" i="10"/>
  <c r="P50" i="10"/>
  <c r="P51" i="10"/>
  <c r="C14" i="10"/>
  <c r="D14" i="10"/>
  <c r="E14" i="10"/>
  <c r="F14" i="10"/>
  <c r="F36" i="10" s="1"/>
  <c r="G14" i="10"/>
  <c r="H16" i="10" s="1"/>
  <c r="H14" i="10"/>
  <c r="I14" i="10"/>
  <c r="J14" i="10"/>
  <c r="K14" i="10"/>
  <c r="L14" i="10"/>
  <c r="L16" i="10" s="1"/>
  <c r="M14" i="10"/>
  <c r="N14" i="10"/>
  <c r="O16" i="10" s="1"/>
  <c r="O14" i="10"/>
  <c r="D16" i="10"/>
  <c r="D17" i="10"/>
  <c r="D18" i="10" s="1"/>
  <c r="H17" i="10"/>
  <c r="H18" i="10" s="1"/>
  <c r="C35" i="10"/>
  <c r="D35" i="10"/>
  <c r="E35" i="10"/>
  <c r="F38" i="10" s="1"/>
  <c r="F39" i="10" s="1"/>
  <c r="F35" i="10"/>
  <c r="F37" i="10" s="1"/>
  <c r="G35" i="10"/>
  <c r="H35" i="10"/>
  <c r="I35" i="10"/>
  <c r="J35" i="10"/>
  <c r="J36" i="10" s="1"/>
  <c r="K35" i="10"/>
  <c r="K15" i="10" s="1"/>
  <c r="L35" i="10"/>
  <c r="M37" i="10" s="1"/>
  <c r="M35" i="10"/>
  <c r="N35" i="10"/>
  <c r="N37" i="10" s="1"/>
  <c r="O35" i="10"/>
  <c r="D74" i="10"/>
  <c r="F74" i="10" s="1"/>
  <c r="H74" i="10"/>
  <c r="F75" i="10"/>
  <c r="H75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H75" i="7"/>
  <c r="H74" i="7"/>
  <c r="F75" i="7"/>
  <c r="AI66" i="7"/>
  <c r="AH66" i="7"/>
  <c r="AG66" i="7"/>
  <c r="AF66" i="7"/>
  <c r="AE66" i="7"/>
  <c r="AD66" i="7"/>
  <c r="AC66" i="7"/>
  <c r="AB66" i="7"/>
  <c r="AA66" i="7"/>
  <c r="Z66" i="7"/>
  <c r="Y66" i="7"/>
  <c r="X66" i="7"/>
  <c r="AI65" i="7"/>
  <c r="AH65" i="7"/>
  <c r="AG65" i="7"/>
  <c r="AF65" i="7"/>
  <c r="AE65" i="7"/>
  <c r="AD65" i="7"/>
  <c r="AC65" i="7"/>
  <c r="AB65" i="7"/>
  <c r="AA65" i="7"/>
  <c r="Z65" i="7"/>
  <c r="Y65" i="7"/>
  <c r="X65" i="7"/>
  <c r="AI64" i="7"/>
  <c r="AH64" i="7"/>
  <c r="AG64" i="7"/>
  <c r="AF64" i="7"/>
  <c r="AE64" i="7"/>
  <c r="AD64" i="7"/>
  <c r="AC64" i="7"/>
  <c r="AB64" i="7"/>
  <c r="AA64" i="7"/>
  <c r="Z64" i="7"/>
  <c r="Y64" i="7"/>
  <c r="X64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I62" i="7"/>
  <c r="AH62" i="7"/>
  <c r="AG62" i="7"/>
  <c r="AF62" i="7"/>
  <c r="AE62" i="7"/>
  <c r="AD62" i="7"/>
  <c r="AC62" i="7"/>
  <c r="AB62" i="7"/>
  <c r="AA62" i="7"/>
  <c r="Z62" i="7"/>
  <c r="Y62" i="7"/>
  <c r="X62" i="7"/>
  <c r="AI61" i="7"/>
  <c r="AH61" i="7"/>
  <c r="AG61" i="7"/>
  <c r="AF61" i="7"/>
  <c r="AE61" i="7"/>
  <c r="AD61" i="7"/>
  <c r="AC61" i="7"/>
  <c r="AB61" i="7"/>
  <c r="AA61" i="7"/>
  <c r="Z61" i="7"/>
  <c r="Y61" i="7"/>
  <c r="X61" i="7"/>
  <c r="AI60" i="7"/>
  <c r="AH60" i="7"/>
  <c r="AG60" i="7"/>
  <c r="AF60" i="7"/>
  <c r="AE60" i="7"/>
  <c r="AD60" i="7"/>
  <c r="AC60" i="7"/>
  <c r="AB60" i="7"/>
  <c r="AA60" i="7"/>
  <c r="Z60" i="7"/>
  <c r="Y60" i="7"/>
  <c r="X60" i="7"/>
  <c r="AI59" i="7"/>
  <c r="AH59" i="7"/>
  <c r="AG59" i="7"/>
  <c r="AF59" i="7"/>
  <c r="AE59" i="7"/>
  <c r="AD59" i="7"/>
  <c r="AC59" i="7"/>
  <c r="AB59" i="7"/>
  <c r="AA59" i="7"/>
  <c r="Z59" i="7"/>
  <c r="Y59" i="7"/>
  <c r="X59" i="7"/>
  <c r="AI58" i="7"/>
  <c r="AH58" i="7"/>
  <c r="AG58" i="7"/>
  <c r="AF58" i="7"/>
  <c r="AE58" i="7"/>
  <c r="AD58" i="7"/>
  <c r="AC58" i="7"/>
  <c r="AB58" i="7"/>
  <c r="AA58" i="7"/>
  <c r="Z58" i="7"/>
  <c r="Y58" i="7"/>
  <c r="X58" i="7"/>
  <c r="AI57" i="7"/>
  <c r="AH57" i="7"/>
  <c r="AG57" i="7"/>
  <c r="AF57" i="7"/>
  <c r="AE57" i="7"/>
  <c r="AD57" i="7"/>
  <c r="AC57" i="7"/>
  <c r="AB57" i="7"/>
  <c r="AA57" i="7"/>
  <c r="Z57" i="7"/>
  <c r="Y57" i="7"/>
  <c r="X57" i="7"/>
  <c r="AI56" i="7"/>
  <c r="AH56" i="7"/>
  <c r="AG56" i="7"/>
  <c r="AF56" i="7"/>
  <c r="AE56" i="7"/>
  <c r="AD56" i="7"/>
  <c r="AC56" i="7"/>
  <c r="AB56" i="7"/>
  <c r="AA56" i="7"/>
  <c r="Z56" i="7"/>
  <c r="Y56" i="7"/>
  <c r="X56" i="7"/>
  <c r="AI55" i="7"/>
  <c r="AH55" i="7"/>
  <c r="AG55" i="7"/>
  <c r="AF55" i="7"/>
  <c r="AE55" i="7"/>
  <c r="AD55" i="7"/>
  <c r="AC55" i="7"/>
  <c r="AB55" i="7"/>
  <c r="AA55" i="7"/>
  <c r="Z55" i="7"/>
  <c r="Y55" i="7"/>
  <c r="X55" i="7"/>
  <c r="AI54" i="7"/>
  <c r="AH54" i="7"/>
  <c r="AG54" i="7"/>
  <c r="AF54" i="7"/>
  <c r="AE54" i="7"/>
  <c r="AD54" i="7"/>
  <c r="AC54" i="7"/>
  <c r="AB54" i="7"/>
  <c r="AA54" i="7"/>
  <c r="Z54" i="7"/>
  <c r="Y54" i="7"/>
  <c r="X54" i="7"/>
  <c r="AI53" i="7"/>
  <c r="AH53" i="7"/>
  <c r="AG53" i="7"/>
  <c r="AF53" i="7"/>
  <c r="AE53" i="7"/>
  <c r="AD53" i="7"/>
  <c r="AC53" i="7"/>
  <c r="AB53" i="7"/>
  <c r="AA53" i="7"/>
  <c r="Z53" i="7"/>
  <c r="Y53" i="7"/>
  <c r="X53" i="7"/>
  <c r="AI52" i="7"/>
  <c r="AH52" i="7"/>
  <c r="AG52" i="7"/>
  <c r="AF52" i="7"/>
  <c r="AE52" i="7"/>
  <c r="AD52" i="7"/>
  <c r="AC52" i="7"/>
  <c r="AB52" i="7"/>
  <c r="AA52" i="7"/>
  <c r="Z52" i="7"/>
  <c r="Y52" i="7"/>
  <c r="X52" i="7"/>
  <c r="AI51" i="7"/>
  <c r="AH51" i="7"/>
  <c r="AG51" i="7"/>
  <c r="AF51" i="7"/>
  <c r="AE51" i="7"/>
  <c r="AD51" i="7"/>
  <c r="AC51" i="7"/>
  <c r="AB51" i="7"/>
  <c r="AA51" i="7"/>
  <c r="Z51" i="7"/>
  <c r="Y51" i="7"/>
  <c r="X51" i="7"/>
  <c r="AI50" i="7"/>
  <c r="AH50" i="7"/>
  <c r="AG50" i="7"/>
  <c r="AF50" i="7"/>
  <c r="AE50" i="7"/>
  <c r="AD50" i="7"/>
  <c r="AC50" i="7"/>
  <c r="AB50" i="7"/>
  <c r="AA50" i="7"/>
  <c r="Z50" i="7"/>
  <c r="Y50" i="7"/>
  <c r="X50" i="7"/>
  <c r="AI49" i="7"/>
  <c r="AH49" i="7"/>
  <c r="AG49" i="7"/>
  <c r="AF49" i="7"/>
  <c r="AE49" i="7"/>
  <c r="AD49" i="7"/>
  <c r="AC49" i="7"/>
  <c r="AB49" i="7"/>
  <c r="AA49" i="7"/>
  <c r="Z49" i="7"/>
  <c r="Y49" i="7"/>
  <c r="X49" i="7"/>
  <c r="AI48" i="7"/>
  <c r="AH48" i="7"/>
  <c r="AG48" i="7"/>
  <c r="AF48" i="7"/>
  <c r="AE48" i="7"/>
  <c r="AD48" i="7"/>
  <c r="AC48" i="7"/>
  <c r="AB48" i="7"/>
  <c r="AA48" i="7"/>
  <c r="Z48" i="7"/>
  <c r="Y48" i="7"/>
  <c r="X48" i="7"/>
  <c r="AI47" i="7"/>
  <c r="AH47" i="7"/>
  <c r="AG47" i="7"/>
  <c r="AF47" i="7"/>
  <c r="AE47" i="7"/>
  <c r="AD47" i="7"/>
  <c r="AC47" i="7"/>
  <c r="AB47" i="7"/>
  <c r="AA47" i="7"/>
  <c r="Z47" i="7"/>
  <c r="Y47" i="7"/>
  <c r="X47" i="7"/>
  <c r="AI46" i="7"/>
  <c r="AH46" i="7"/>
  <c r="AG46" i="7"/>
  <c r="AF46" i="7"/>
  <c r="AE46" i="7"/>
  <c r="AD46" i="7"/>
  <c r="AC46" i="7"/>
  <c r="AB46" i="7"/>
  <c r="AA46" i="7"/>
  <c r="Z46" i="7"/>
  <c r="Y46" i="7"/>
  <c r="X46" i="7"/>
  <c r="AL50" i="11" l="1"/>
  <c r="AP50" i="11" s="1"/>
  <c r="Q50" i="11" s="1"/>
  <c r="AK64" i="11"/>
  <c r="D38" i="11"/>
  <c r="D39" i="11" s="1"/>
  <c r="N38" i="10"/>
  <c r="N39" i="10" s="1"/>
  <c r="E37" i="10"/>
  <c r="I17" i="11"/>
  <c r="I18" i="11" s="1"/>
  <c r="J38" i="11"/>
  <c r="J39" i="11" s="1"/>
  <c r="J38" i="10"/>
  <c r="J39" i="10" s="1"/>
  <c r="C15" i="10"/>
  <c r="J36" i="11"/>
  <c r="K38" i="11"/>
  <c r="K39" i="11" s="1"/>
  <c r="L17" i="11"/>
  <c r="L18" i="11" s="1"/>
  <c r="AK61" i="11"/>
  <c r="AM61" i="11" s="1"/>
  <c r="D36" i="11"/>
  <c r="E38" i="11"/>
  <c r="E39" i="11" s="1"/>
  <c r="AL61" i="11"/>
  <c r="AP61" i="11" s="1"/>
  <c r="Q61" i="11" s="1"/>
  <c r="AL58" i="11"/>
  <c r="AP58" i="11" s="1"/>
  <c r="Q58" i="11" s="1"/>
  <c r="J37" i="10"/>
  <c r="M17" i="11"/>
  <c r="M18" i="11" s="1"/>
  <c r="N38" i="11"/>
  <c r="N39" i="11" s="1"/>
  <c r="L17" i="10"/>
  <c r="L18" i="10" s="1"/>
  <c r="N36" i="11"/>
  <c r="O38" i="11"/>
  <c r="O39" i="11" s="1"/>
  <c r="AK52" i="11"/>
  <c r="AL55" i="11"/>
  <c r="AP55" i="11" s="1"/>
  <c r="Q55" i="11" s="1"/>
  <c r="AL52" i="11"/>
  <c r="AP52" i="11" s="1"/>
  <c r="Q52" i="11" s="1"/>
  <c r="AL46" i="11"/>
  <c r="AP46" i="11" s="1"/>
  <c r="Q46" i="11" s="1"/>
  <c r="AK63" i="11"/>
  <c r="O15" i="10"/>
  <c r="H15" i="11"/>
  <c r="AK60" i="11"/>
  <c r="AO60" i="11" s="1"/>
  <c r="AL63" i="11"/>
  <c r="AP63" i="11" s="1"/>
  <c r="Q63" i="11" s="1"/>
  <c r="AK57" i="11"/>
  <c r="AM57" i="11" s="1"/>
  <c r="N36" i="10"/>
  <c r="D15" i="11"/>
  <c r="AK54" i="11"/>
  <c r="AO54" i="11" s="1"/>
  <c r="AL57" i="11"/>
  <c r="AP57" i="11" s="1"/>
  <c r="Q57" i="11" s="1"/>
  <c r="AL54" i="11"/>
  <c r="AP54" i="11" s="1"/>
  <c r="Q54" i="11" s="1"/>
  <c r="AL51" i="11"/>
  <c r="AP51" i="11" s="1"/>
  <c r="Q51" i="11" s="1"/>
  <c r="I37" i="10"/>
  <c r="K16" i="10"/>
  <c r="E17" i="11"/>
  <c r="E18" i="11" s="1"/>
  <c r="F38" i="11"/>
  <c r="F39" i="11" s="1"/>
  <c r="G15" i="10"/>
  <c r="F36" i="11"/>
  <c r="G38" i="11"/>
  <c r="G39" i="11" s="1"/>
  <c r="AK56" i="11"/>
  <c r="AO56" i="11" s="1"/>
  <c r="H17" i="11"/>
  <c r="H18" i="11" s="1"/>
  <c r="H38" i="11"/>
  <c r="H39" i="11" s="1"/>
  <c r="AK53" i="11"/>
  <c r="AL56" i="11"/>
  <c r="AP56" i="11" s="1"/>
  <c r="Q56" i="11" s="1"/>
  <c r="AL53" i="11"/>
  <c r="AP53" i="11" s="1"/>
  <c r="Q53" i="11" s="1"/>
  <c r="AM47" i="11"/>
  <c r="AO47" i="11"/>
  <c r="AM63" i="11"/>
  <c r="AO63" i="11"/>
  <c r="AO46" i="11"/>
  <c r="AM46" i="11"/>
  <c r="AO50" i="11"/>
  <c r="AM50" i="11"/>
  <c r="AO58" i="11"/>
  <c r="AO62" i="11"/>
  <c r="AO66" i="11"/>
  <c r="AO48" i="11"/>
  <c r="AM48" i="11"/>
  <c r="AO52" i="11"/>
  <c r="AM52" i="11"/>
  <c r="AO51" i="11"/>
  <c r="AM55" i="11"/>
  <c r="AO55" i="11"/>
  <c r="AM59" i="11"/>
  <c r="AO59" i="11"/>
  <c r="AM49" i="11"/>
  <c r="AO49" i="11"/>
  <c r="AM53" i="11"/>
  <c r="AO53" i="11"/>
  <c r="AM65" i="11"/>
  <c r="AO65" i="11"/>
  <c r="AO64" i="11"/>
  <c r="C15" i="11"/>
  <c r="G15" i="11"/>
  <c r="K15" i="11"/>
  <c r="O15" i="11"/>
  <c r="G16" i="11"/>
  <c r="K16" i="11"/>
  <c r="O16" i="11"/>
  <c r="G17" i="11"/>
  <c r="G18" i="11" s="1"/>
  <c r="K17" i="11"/>
  <c r="K18" i="11" s="1"/>
  <c r="E36" i="11"/>
  <c r="I36" i="11"/>
  <c r="M36" i="11"/>
  <c r="E37" i="11"/>
  <c r="I37" i="11"/>
  <c r="M37" i="11"/>
  <c r="I38" i="11"/>
  <c r="I39" i="11" s="1"/>
  <c r="M38" i="11"/>
  <c r="M39" i="11" s="1"/>
  <c r="F16" i="11"/>
  <c r="J16" i="11"/>
  <c r="N16" i="11"/>
  <c r="F17" i="11"/>
  <c r="F18" i="11" s="1"/>
  <c r="J17" i="11"/>
  <c r="J18" i="11" s="1"/>
  <c r="N17" i="11"/>
  <c r="N18" i="11" s="1"/>
  <c r="D37" i="11"/>
  <c r="H37" i="11"/>
  <c r="L37" i="11"/>
  <c r="L38" i="11"/>
  <c r="L39" i="11" s="1"/>
  <c r="AL60" i="11"/>
  <c r="AP60" i="11" s="1"/>
  <c r="Q60" i="11" s="1"/>
  <c r="AL62" i="11"/>
  <c r="AP62" i="11" s="1"/>
  <c r="Q62" i="11" s="1"/>
  <c r="AL64" i="11"/>
  <c r="AP64" i="11" s="1"/>
  <c r="Q64" i="11" s="1"/>
  <c r="AL66" i="11"/>
  <c r="AP66" i="11" s="1"/>
  <c r="Q66" i="11" s="1"/>
  <c r="E15" i="11"/>
  <c r="I15" i="11"/>
  <c r="M15" i="11"/>
  <c r="E16" i="11"/>
  <c r="I16" i="11"/>
  <c r="M16" i="11"/>
  <c r="G36" i="11"/>
  <c r="K36" i="11"/>
  <c r="O36" i="11"/>
  <c r="G37" i="11"/>
  <c r="K37" i="11"/>
  <c r="O37" i="11"/>
  <c r="D16" i="11"/>
  <c r="H16" i="11"/>
  <c r="L16" i="11"/>
  <c r="F37" i="11"/>
  <c r="G16" i="10"/>
  <c r="D15" i="10"/>
  <c r="R8" i="10" s="1"/>
  <c r="R9" i="10" s="1"/>
  <c r="H15" i="10"/>
  <c r="M36" i="10"/>
  <c r="I36" i="10"/>
  <c r="E36" i="10"/>
  <c r="L15" i="10"/>
  <c r="AK50" i="10"/>
  <c r="AO50" i="10" s="1"/>
  <c r="O38" i="10"/>
  <c r="O39" i="10" s="1"/>
  <c r="G38" i="10"/>
  <c r="G39" i="10" s="1"/>
  <c r="K37" i="10"/>
  <c r="O36" i="10"/>
  <c r="G36" i="10"/>
  <c r="M17" i="10"/>
  <c r="M18" i="10" s="1"/>
  <c r="I17" i="10"/>
  <c r="I18" i="10" s="1"/>
  <c r="E17" i="10"/>
  <c r="E18" i="10" s="1"/>
  <c r="M16" i="10"/>
  <c r="I16" i="10"/>
  <c r="E16" i="10"/>
  <c r="M15" i="10"/>
  <c r="I15" i="10"/>
  <c r="E15" i="10"/>
  <c r="AK62" i="10"/>
  <c r="AL63" i="10"/>
  <c r="AP63" i="10" s="1"/>
  <c r="Q63" i="10" s="1"/>
  <c r="C102" i="10" s="1"/>
  <c r="AL64" i="10"/>
  <c r="AP64" i="10" s="1"/>
  <c r="Q64" i="10" s="1"/>
  <c r="C103" i="10" s="1"/>
  <c r="AL65" i="10"/>
  <c r="AP65" i="10" s="1"/>
  <c r="Q65" i="10" s="1"/>
  <c r="AK66" i="10"/>
  <c r="AO66" i="10" s="1"/>
  <c r="L38" i="10"/>
  <c r="L39" i="10" s="1"/>
  <c r="H38" i="10"/>
  <c r="H39" i="10" s="1"/>
  <c r="D38" i="10"/>
  <c r="D39" i="10" s="1"/>
  <c r="L37" i="10"/>
  <c r="H37" i="10"/>
  <c r="D37" i="10"/>
  <c r="L36" i="10"/>
  <c r="H36" i="10"/>
  <c r="D36" i="10"/>
  <c r="N17" i="10"/>
  <c r="N18" i="10" s="1"/>
  <c r="J17" i="10"/>
  <c r="J18" i="10" s="1"/>
  <c r="F17" i="10"/>
  <c r="F18" i="10" s="1"/>
  <c r="N16" i="10"/>
  <c r="J16" i="10"/>
  <c r="F16" i="10"/>
  <c r="N15" i="10"/>
  <c r="J15" i="10"/>
  <c r="F15" i="10"/>
  <c r="AK54" i="10"/>
  <c r="K38" i="10"/>
  <c r="K39" i="10" s="1"/>
  <c r="O37" i="10"/>
  <c r="G37" i="10"/>
  <c r="K36" i="10"/>
  <c r="C36" i="10"/>
  <c r="AK46" i="10"/>
  <c r="AK47" i="10"/>
  <c r="AO47" i="10" s="1"/>
  <c r="R47" i="10" s="1"/>
  <c r="D86" i="10" s="1"/>
  <c r="AL48" i="10"/>
  <c r="AP48" i="10" s="1"/>
  <c r="Q48" i="10" s="1"/>
  <c r="C87" i="10" s="1"/>
  <c r="AL49" i="10"/>
  <c r="AP49" i="10" s="1"/>
  <c r="Q49" i="10" s="1"/>
  <c r="AL50" i="10"/>
  <c r="AP50" i="10" s="1"/>
  <c r="Q50" i="10" s="1"/>
  <c r="C89" i="10" s="1"/>
  <c r="AL51" i="10"/>
  <c r="AP51" i="10" s="1"/>
  <c r="Q51" i="10" s="1"/>
  <c r="C90" i="10" s="1"/>
  <c r="AL52" i="10"/>
  <c r="AP52" i="10" s="1"/>
  <c r="Q52" i="10" s="1"/>
  <c r="C91" i="10" s="1"/>
  <c r="AL53" i="10"/>
  <c r="AP53" i="10" s="1"/>
  <c r="Q53" i="10" s="1"/>
  <c r="AL54" i="10"/>
  <c r="AP54" i="10" s="1"/>
  <c r="Q54" i="10" s="1"/>
  <c r="C93" i="10" s="1"/>
  <c r="AL55" i="10"/>
  <c r="AP55" i="10" s="1"/>
  <c r="Q55" i="10" s="1"/>
  <c r="C94" i="10" s="1"/>
  <c r="AL56" i="10"/>
  <c r="AP56" i="10" s="1"/>
  <c r="Q56" i="10" s="1"/>
  <c r="C95" i="10" s="1"/>
  <c r="AL57" i="10"/>
  <c r="AP57" i="10" s="1"/>
  <c r="Q57" i="10" s="1"/>
  <c r="C96" i="10" s="1"/>
  <c r="AK58" i="10"/>
  <c r="AL59" i="10"/>
  <c r="AP59" i="10" s="1"/>
  <c r="Q59" i="10" s="1"/>
  <c r="C98" i="10" s="1"/>
  <c r="AL60" i="10"/>
  <c r="AP60" i="10" s="1"/>
  <c r="Q60" i="10" s="1"/>
  <c r="C99" i="10" s="1"/>
  <c r="AL61" i="10"/>
  <c r="AK61" i="10"/>
  <c r="AO61" i="10" s="1"/>
  <c r="M38" i="10"/>
  <c r="M39" i="10" s="1"/>
  <c r="I38" i="10"/>
  <c r="I39" i="10" s="1"/>
  <c r="E38" i="10"/>
  <c r="E39" i="10" s="1"/>
  <c r="O17" i="10"/>
  <c r="O18" i="10" s="1"/>
  <c r="K17" i="10"/>
  <c r="K18" i="10" s="1"/>
  <c r="G17" i="10"/>
  <c r="G18" i="10" s="1"/>
  <c r="AK48" i="10"/>
  <c r="AK49" i="10"/>
  <c r="AO49" i="10" s="1"/>
  <c r="R49" i="10" s="1"/>
  <c r="D88" i="10" s="1"/>
  <c r="AK51" i="10"/>
  <c r="AO51" i="10" s="1"/>
  <c r="R51" i="10" s="1"/>
  <c r="AK52" i="10"/>
  <c r="AK53" i="10"/>
  <c r="AO53" i="10" s="1"/>
  <c r="R53" i="10" s="1"/>
  <c r="D92" i="10" s="1"/>
  <c r="AK55" i="10"/>
  <c r="AO55" i="10" s="1"/>
  <c r="AQ55" i="10" s="1"/>
  <c r="AR55" i="10" s="1"/>
  <c r="AK56" i="10"/>
  <c r="AK57" i="10"/>
  <c r="AO57" i="10" s="1"/>
  <c r="AK59" i="10"/>
  <c r="AO59" i="10" s="1"/>
  <c r="AK60" i="10"/>
  <c r="AK63" i="10"/>
  <c r="AO63" i="10" s="1"/>
  <c r="AQ63" i="10" s="1"/>
  <c r="AR63" i="10" s="1"/>
  <c r="AK64" i="10"/>
  <c r="AK65" i="10"/>
  <c r="AO65" i="10" s="1"/>
  <c r="AL46" i="10"/>
  <c r="AP46" i="10" s="1"/>
  <c r="Q46" i="10" s="1"/>
  <c r="C85" i="10" s="1"/>
  <c r="AL58" i="10"/>
  <c r="AP58" i="10" s="1"/>
  <c r="Q58" i="10" s="1"/>
  <c r="C97" i="10" s="1"/>
  <c r="AL62" i="10"/>
  <c r="AP62" i="10" s="1"/>
  <c r="Q62" i="10" s="1"/>
  <c r="C101" i="10" s="1"/>
  <c r="AL66" i="10"/>
  <c r="AP66" i="10" s="1"/>
  <c r="Q66" i="10" s="1"/>
  <c r="C105" i="10" s="1"/>
  <c r="AL47" i="10"/>
  <c r="AP47" i="10" s="1"/>
  <c r="Q47" i="10" s="1"/>
  <c r="R57" i="10"/>
  <c r="D96" i="10" s="1"/>
  <c r="R59" i="10"/>
  <c r="R61" i="10"/>
  <c r="D100" i="10" s="1"/>
  <c r="R63" i="10"/>
  <c r="R65" i="10"/>
  <c r="D104" i="10" s="1"/>
  <c r="AO46" i="10"/>
  <c r="AO58" i="10"/>
  <c r="AM59" i="10"/>
  <c r="AO62" i="10"/>
  <c r="AM63" i="10"/>
  <c r="AK49" i="7"/>
  <c r="AO49" i="7" s="1"/>
  <c r="P49" i="7" s="1"/>
  <c r="AK47" i="7"/>
  <c r="AO47" i="7" s="1"/>
  <c r="P47" i="7" s="1"/>
  <c r="AK50" i="7"/>
  <c r="AO50" i="7" s="1"/>
  <c r="P50" i="7" s="1"/>
  <c r="AJ52" i="7"/>
  <c r="AN52" i="7" s="1"/>
  <c r="AK54" i="7"/>
  <c r="AO54" i="7" s="1"/>
  <c r="P54" i="7" s="1"/>
  <c r="AK57" i="7"/>
  <c r="AO57" i="7" s="1"/>
  <c r="P57" i="7" s="1"/>
  <c r="AK46" i="7"/>
  <c r="AO46" i="7" s="1"/>
  <c r="P46" i="7" s="1"/>
  <c r="AJ48" i="7"/>
  <c r="AN48" i="7" s="1"/>
  <c r="AK51" i="7"/>
  <c r="AO51" i="7" s="1"/>
  <c r="P51" i="7" s="1"/>
  <c r="AK53" i="7"/>
  <c r="AO53" i="7" s="1"/>
  <c r="P53" i="7" s="1"/>
  <c r="AK55" i="7"/>
  <c r="AO55" i="7" s="1"/>
  <c r="P55" i="7" s="1"/>
  <c r="AJ56" i="7"/>
  <c r="AN56" i="7" s="1"/>
  <c r="AK58" i="7"/>
  <c r="AO58" i="7" s="1"/>
  <c r="P58" i="7" s="1"/>
  <c r="AK59" i="7"/>
  <c r="AO59" i="7" s="1"/>
  <c r="P59" i="7" s="1"/>
  <c r="AK60" i="7"/>
  <c r="AO60" i="7" s="1"/>
  <c r="P60" i="7" s="1"/>
  <c r="AK61" i="7"/>
  <c r="AO61" i="7" s="1"/>
  <c r="P61" i="7" s="1"/>
  <c r="AK62" i="7"/>
  <c r="AO62" i="7" s="1"/>
  <c r="P62" i="7" s="1"/>
  <c r="AK63" i="7"/>
  <c r="AO63" i="7" s="1"/>
  <c r="P63" i="7" s="1"/>
  <c r="AK64" i="7"/>
  <c r="AO64" i="7" s="1"/>
  <c r="P64" i="7" s="1"/>
  <c r="AK65" i="7"/>
  <c r="AO65" i="7" s="1"/>
  <c r="P65" i="7" s="1"/>
  <c r="AJ66" i="7"/>
  <c r="AN66" i="7" s="1"/>
  <c r="AJ47" i="7"/>
  <c r="AJ51" i="7"/>
  <c r="AJ55" i="7"/>
  <c r="AJ59" i="7"/>
  <c r="AJ63" i="7"/>
  <c r="AL63" i="7" s="1"/>
  <c r="AN55" i="7"/>
  <c r="AJ64" i="7"/>
  <c r="AJ60" i="7"/>
  <c r="AK48" i="7"/>
  <c r="AO48" i="7" s="1"/>
  <c r="P48" i="7" s="1"/>
  <c r="AK52" i="7"/>
  <c r="AO52" i="7" s="1"/>
  <c r="P52" i="7" s="1"/>
  <c r="AK56" i="7"/>
  <c r="AO56" i="7" s="1"/>
  <c r="P56" i="7" s="1"/>
  <c r="AK66" i="7"/>
  <c r="AO66" i="7" s="1"/>
  <c r="P66" i="7" s="1"/>
  <c r="AJ49" i="7"/>
  <c r="AJ53" i="7"/>
  <c r="AJ57" i="7"/>
  <c r="AJ61" i="7"/>
  <c r="AJ65" i="7"/>
  <c r="AJ46" i="7"/>
  <c r="AJ50" i="7"/>
  <c r="AJ54" i="7"/>
  <c r="AJ58" i="7"/>
  <c r="AJ62" i="7"/>
  <c r="AQ51" i="10" l="1"/>
  <c r="AR51" i="10" s="1"/>
  <c r="AM50" i="10"/>
  <c r="AL55" i="7"/>
  <c r="AL47" i="7"/>
  <c r="AO61" i="11"/>
  <c r="AM58" i="11"/>
  <c r="AM51" i="11"/>
  <c r="AL51" i="7"/>
  <c r="AM56" i="11"/>
  <c r="AM51" i="10"/>
  <c r="AQ59" i="10"/>
  <c r="AR59" i="10" s="1"/>
  <c r="AO57" i="11"/>
  <c r="AM54" i="11"/>
  <c r="R8" i="11"/>
  <c r="R9" i="11" s="1"/>
  <c r="R64" i="11"/>
  <c r="AQ64" i="11"/>
  <c r="AR64" i="11" s="1"/>
  <c r="R60" i="11"/>
  <c r="AQ60" i="11"/>
  <c r="AR60" i="11" s="1"/>
  <c r="R56" i="11"/>
  <c r="AQ56" i="11"/>
  <c r="AR56" i="11" s="1"/>
  <c r="R52" i="11"/>
  <c r="AQ52" i="11"/>
  <c r="AR52" i="11" s="1"/>
  <c r="R66" i="11"/>
  <c r="AQ66" i="11"/>
  <c r="AR66" i="11" s="1"/>
  <c r="R62" i="11"/>
  <c r="AQ62" i="11"/>
  <c r="AR62" i="11" s="1"/>
  <c r="R58" i="11"/>
  <c r="AQ58" i="11"/>
  <c r="AR58" i="11" s="1"/>
  <c r="R54" i="11"/>
  <c r="AQ54" i="11"/>
  <c r="AR54" i="11" s="1"/>
  <c r="R50" i="11"/>
  <c r="AQ50" i="11"/>
  <c r="AR50" i="11" s="1"/>
  <c r="R46" i="11"/>
  <c r="AQ46" i="11"/>
  <c r="AR46" i="11" s="1"/>
  <c r="AQ65" i="11"/>
  <c r="AR65" i="11" s="1"/>
  <c r="R65" i="11"/>
  <c r="AQ57" i="11"/>
  <c r="AR57" i="11" s="1"/>
  <c r="R57" i="11"/>
  <c r="AQ53" i="11"/>
  <c r="AR53" i="11" s="1"/>
  <c r="R53" i="11"/>
  <c r="AQ49" i="11"/>
  <c r="AR49" i="11" s="1"/>
  <c r="R49" i="11"/>
  <c r="AQ59" i="11"/>
  <c r="AR59" i="11" s="1"/>
  <c r="R59" i="11"/>
  <c r="AQ51" i="11"/>
  <c r="AR51" i="11" s="1"/>
  <c r="R51" i="11"/>
  <c r="AQ47" i="11"/>
  <c r="AR47" i="11" s="1"/>
  <c r="R47" i="11"/>
  <c r="AM64" i="11"/>
  <c r="AM60" i="11"/>
  <c r="AM66" i="11"/>
  <c r="AM62" i="11"/>
  <c r="S66" i="11"/>
  <c r="T66" i="11" s="1"/>
  <c r="R48" i="11"/>
  <c r="AQ48" i="11"/>
  <c r="AR48" i="11" s="1"/>
  <c r="S60" i="11"/>
  <c r="T60" i="11" s="1"/>
  <c r="AQ61" i="11"/>
  <c r="AR61" i="11" s="1"/>
  <c r="R61" i="11"/>
  <c r="AQ55" i="11"/>
  <c r="AR55" i="11" s="1"/>
  <c r="R55" i="11"/>
  <c r="AQ63" i="11"/>
  <c r="AR63" i="11" s="1"/>
  <c r="R63" i="11"/>
  <c r="S47" i="10"/>
  <c r="T47" i="10" s="1"/>
  <c r="F86" i="10" s="1"/>
  <c r="C86" i="10"/>
  <c r="E86" i="10" s="1"/>
  <c r="S63" i="10"/>
  <c r="T63" i="10" s="1"/>
  <c r="F102" i="10" s="1"/>
  <c r="D102" i="10"/>
  <c r="E102" i="10" s="1"/>
  <c r="S53" i="10"/>
  <c r="T53" i="10" s="1"/>
  <c r="F92" i="10" s="1"/>
  <c r="C92" i="10"/>
  <c r="E92" i="10" s="1"/>
  <c r="S59" i="10"/>
  <c r="T59" i="10" s="1"/>
  <c r="F98" i="10" s="1"/>
  <c r="D98" i="10"/>
  <c r="E98" i="10" s="1"/>
  <c r="S51" i="10"/>
  <c r="T51" i="10" s="1"/>
  <c r="F90" i="10" s="1"/>
  <c r="D90" i="10"/>
  <c r="E90" i="10" s="1"/>
  <c r="S65" i="10"/>
  <c r="T65" i="10" s="1"/>
  <c r="F104" i="10" s="1"/>
  <c r="C104" i="10"/>
  <c r="E104" i="10" s="1"/>
  <c r="AM54" i="10"/>
  <c r="S49" i="10"/>
  <c r="T49" i="10" s="1"/>
  <c r="F88" i="10" s="1"/>
  <c r="C88" i="10"/>
  <c r="E88" i="10" s="1"/>
  <c r="E96" i="10"/>
  <c r="AM61" i="10"/>
  <c r="AO54" i="10"/>
  <c r="R54" i="10" s="1"/>
  <c r="R55" i="10"/>
  <c r="AM47" i="10"/>
  <c r="AP61" i="10"/>
  <c r="Q61" i="10" s="1"/>
  <c r="C100" i="10" s="1"/>
  <c r="E100" i="10" s="1"/>
  <c r="AM55" i="10"/>
  <c r="AM60" i="10"/>
  <c r="AO60" i="10"/>
  <c r="AM49" i="10"/>
  <c r="AM53" i="10"/>
  <c r="AM65" i="10"/>
  <c r="AM56" i="10"/>
  <c r="AO56" i="10"/>
  <c r="AQ47" i="10"/>
  <c r="AR47" i="10" s="1"/>
  <c r="AM62" i="10"/>
  <c r="AM46" i="10"/>
  <c r="AM64" i="10"/>
  <c r="AO64" i="10"/>
  <c r="AM52" i="10"/>
  <c r="AO52" i="10"/>
  <c r="S61" i="10"/>
  <c r="T61" i="10" s="1"/>
  <c r="AM57" i="10"/>
  <c r="AM48" i="10"/>
  <c r="AO48" i="10"/>
  <c r="S57" i="10"/>
  <c r="T57" i="10" s="1"/>
  <c r="AM66" i="10"/>
  <c r="AM58" i="10"/>
  <c r="U65" i="10"/>
  <c r="G104" i="10" s="1"/>
  <c r="W65" i="10"/>
  <c r="W59" i="10"/>
  <c r="U59" i="10"/>
  <c r="G98" i="10" s="1"/>
  <c r="AQ50" i="10"/>
  <c r="AR50" i="10" s="1"/>
  <c r="R50" i="10"/>
  <c r="AQ66" i="10"/>
  <c r="AR66" i="10" s="1"/>
  <c r="R66" i="10"/>
  <c r="W63" i="10"/>
  <c r="AQ62" i="10"/>
  <c r="AR62" i="10" s="1"/>
  <c r="R62" i="10"/>
  <c r="AQ46" i="10"/>
  <c r="AR46" i="10" s="1"/>
  <c r="R46" i="10"/>
  <c r="W47" i="10"/>
  <c r="U47" i="10"/>
  <c r="G86" i="10" s="1"/>
  <c r="AQ65" i="10"/>
  <c r="AR65" i="10" s="1"/>
  <c r="AQ57" i="10"/>
  <c r="AR57" i="10" s="1"/>
  <c r="AQ53" i="10"/>
  <c r="AR53" i="10" s="1"/>
  <c r="AQ58" i="10"/>
  <c r="AR58" i="10" s="1"/>
  <c r="R58" i="10"/>
  <c r="U53" i="10"/>
  <c r="W53" i="10"/>
  <c r="AQ49" i="10"/>
  <c r="AR49" i="10" s="1"/>
  <c r="AL59" i="7"/>
  <c r="AN59" i="7"/>
  <c r="Q59" i="7" s="1"/>
  <c r="R59" i="7" s="1"/>
  <c r="S59" i="7" s="1"/>
  <c r="AN47" i="7"/>
  <c r="Q47" i="7" s="1"/>
  <c r="R47" i="7" s="1"/>
  <c r="S47" i="7" s="1"/>
  <c r="AL66" i="7"/>
  <c r="AN51" i="7"/>
  <c r="Q51" i="7" s="1"/>
  <c r="R51" i="7" s="1"/>
  <c r="S51" i="7" s="1"/>
  <c r="AN63" i="7"/>
  <c r="Q63" i="7" s="1"/>
  <c r="R63" i="7" s="1"/>
  <c r="S63" i="7" s="1"/>
  <c r="AL49" i="7"/>
  <c r="AN49" i="7"/>
  <c r="AL58" i="7"/>
  <c r="AN58" i="7"/>
  <c r="AN54" i="7"/>
  <c r="AL54" i="7"/>
  <c r="AP63" i="7"/>
  <c r="AQ63" i="7" s="1"/>
  <c r="Q66" i="7"/>
  <c r="R66" i="7" s="1"/>
  <c r="S66" i="7" s="1"/>
  <c r="AP66" i="7"/>
  <c r="AQ66" i="7" s="1"/>
  <c r="Q56" i="7"/>
  <c r="R56" i="7" s="1"/>
  <c r="S56" i="7" s="1"/>
  <c r="AP56" i="7"/>
  <c r="AQ56" i="7" s="1"/>
  <c r="AL65" i="7"/>
  <c r="AN65" i="7"/>
  <c r="AL52" i="7"/>
  <c r="AN61" i="7"/>
  <c r="AL61" i="7"/>
  <c r="AN60" i="7"/>
  <c r="AL60" i="7"/>
  <c r="Q55" i="7"/>
  <c r="R55" i="7" s="1"/>
  <c r="S55" i="7" s="1"/>
  <c r="AP55" i="7"/>
  <c r="AQ55" i="7" s="1"/>
  <c r="Q48" i="7"/>
  <c r="R48" i="7" s="1"/>
  <c r="S48" i="7" s="1"/>
  <c r="AP48" i="7"/>
  <c r="AQ48" i="7" s="1"/>
  <c r="Q52" i="7"/>
  <c r="R52" i="7" s="1"/>
  <c r="S52" i="7" s="1"/>
  <c r="AP52" i="7"/>
  <c r="AQ52" i="7" s="1"/>
  <c r="AL50" i="7"/>
  <c r="AN50" i="7"/>
  <c r="AL46" i="7"/>
  <c r="AN46" i="7"/>
  <c r="AL64" i="7"/>
  <c r="AN64" i="7"/>
  <c r="AL48" i="7"/>
  <c r="AL56" i="7"/>
  <c r="AL57" i="7"/>
  <c r="AN57" i="7"/>
  <c r="AN62" i="7"/>
  <c r="AL62" i="7"/>
  <c r="AN53" i="7"/>
  <c r="AL53" i="7"/>
  <c r="W49" i="10" l="1"/>
  <c r="U61" i="10"/>
  <c r="G100" i="10" s="1"/>
  <c r="F100" i="10"/>
  <c r="U49" i="10"/>
  <c r="G88" i="10" s="1"/>
  <c r="AP59" i="7"/>
  <c r="AQ59" i="7" s="1"/>
  <c r="AQ54" i="10"/>
  <c r="AR54" i="10" s="1"/>
  <c r="U51" i="10"/>
  <c r="G90" i="10" s="1"/>
  <c r="AP47" i="7"/>
  <c r="AQ47" i="7" s="1"/>
  <c r="W51" i="10"/>
  <c r="U63" i="10"/>
  <c r="S63" i="11"/>
  <c r="T63" i="11" s="1"/>
  <c r="S59" i="11"/>
  <c r="T59" i="11" s="1"/>
  <c r="S65" i="11"/>
  <c r="T65" i="11" s="1"/>
  <c r="W60" i="11"/>
  <c r="U60" i="11"/>
  <c r="W66" i="11"/>
  <c r="U66" i="11"/>
  <c r="S46" i="11"/>
  <c r="T46" i="11" s="1"/>
  <c r="S54" i="11"/>
  <c r="T54" i="11" s="1"/>
  <c r="S52" i="11"/>
  <c r="T52" i="11" s="1"/>
  <c r="S61" i="11"/>
  <c r="T61" i="11" s="1"/>
  <c r="S47" i="11"/>
  <c r="T47" i="11" s="1"/>
  <c r="S53" i="11"/>
  <c r="T53" i="11" s="1"/>
  <c r="S55" i="11"/>
  <c r="T55" i="11" s="1"/>
  <c r="S51" i="11"/>
  <c r="T51" i="11" s="1"/>
  <c r="S49" i="11"/>
  <c r="T49" i="11" s="1"/>
  <c r="S57" i="11"/>
  <c r="T57" i="11" s="1"/>
  <c r="S64" i="11"/>
  <c r="T64" i="11" s="1"/>
  <c r="S62" i="11"/>
  <c r="T62" i="11" s="1"/>
  <c r="S48" i="11"/>
  <c r="T48" i="11" s="1"/>
  <c r="S50" i="11"/>
  <c r="T50" i="11" s="1"/>
  <c r="S58" i="11"/>
  <c r="T58" i="11" s="1"/>
  <c r="S56" i="11"/>
  <c r="T56" i="11" s="1"/>
  <c r="U57" i="10"/>
  <c r="G96" i="10" s="1"/>
  <c r="F96" i="10"/>
  <c r="S58" i="10"/>
  <c r="T58" i="10" s="1"/>
  <c r="F97" i="10" s="1"/>
  <c r="D97" i="10"/>
  <c r="E97" i="10" s="1"/>
  <c r="S46" i="10"/>
  <c r="T46" i="10" s="1"/>
  <c r="W46" i="10" s="1"/>
  <c r="D85" i="10"/>
  <c r="E85" i="10" s="1"/>
  <c r="S50" i="10"/>
  <c r="T50" i="10" s="1"/>
  <c r="F89" i="10" s="1"/>
  <c r="D89" i="10"/>
  <c r="E89" i="10" s="1"/>
  <c r="S55" i="10"/>
  <c r="T55" i="10" s="1"/>
  <c r="F94" i="10" s="1"/>
  <c r="D94" i="10"/>
  <c r="E94" i="10" s="1"/>
  <c r="S62" i="10"/>
  <c r="T62" i="10" s="1"/>
  <c r="F101" i="10" s="1"/>
  <c r="D101" i="10"/>
  <c r="E101" i="10" s="1"/>
  <c r="S66" i="10"/>
  <c r="T66" i="10" s="1"/>
  <c r="F105" i="10" s="1"/>
  <c r="D105" i="10"/>
  <c r="E105" i="10" s="1"/>
  <c r="S54" i="10"/>
  <c r="T54" i="10" s="1"/>
  <c r="F93" i="10" s="1"/>
  <c r="D93" i="10"/>
  <c r="E93" i="10" s="1"/>
  <c r="W57" i="10"/>
  <c r="AQ61" i="10"/>
  <c r="AR61" i="10" s="1"/>
  <c r="W61" i="10"/>
  <c r="R48" i="10"/>
  <c r="AQ48" i="10"/>
  <c r="AR48" i="10" s="1"/>
  <c r="R52" i="10"/>
  <c r="AQ52" i="10"/>
  <c r="AR52" i="10" s="1"/>
  <c r="R60" i="10"/>
  <c r="AQ60" i="10"/>
  <c r="AR60" i="10" s="1"/>
  <c r="R56" i="10"/>
  <c r="AQ56" i="10"/>
  <c r="AR56" i="10" s="1"/>
  <c r="R64" i="10"/>
  <c r="AQ64" i="10"/>
  <c r="AR64" i="10" s="1"/>
  <c r="W58" i="10"/>
  <c r="U62" i="10"/>
  <c r="G101" i="10" s="1"/>
  <c r="W62" i="10"/>
  <c r="W66" i="10"/>
  <c r="AP51" i="7"/>
  <c r="AQ51" i="7" s="1"/>
  <c r="V66" i="7"/>
  <c r="T66" i="7"/>
  <c r="V51" i="7"/>
  <c r="T51" i="7"/>
  <c r="V48" i="7"/>
  <c r="T48" i="7"/>
  <c r="V59" i="7"/>
  <c r="T59" i="7"/>
  <c r="V56" i="7"/>
  <c r="T56" i="7"/>
  <c r="V63" i="7"/>
  <c r="T63" i="7"/>
  <c r="V47" i="7"/>
  <c r="T47" i="7"/>
  <c r="V52" i="7"/>
  <c r="T52" i="7"/>
  <c r="V55" i="7"/>
  <c r="T55" i="7"/>
  <c r="AP54" i="7"/>
  <c r="AQ54" i="7" s="1"/>
  <c r="Q54" i="7"/>
  <c r="R54" i="7" s="1"/>
  <c r="S54" i="7" s="1"/>
  <c r="Q50" i="7"/>
  <c r="R50" i="7" s="1"/>
  <c r="S50" i="7" s="1"/>
  <c r="AP50" i="7"/>
  <c r="AQ50" i="7" s="1"/>
  <c r="AP58" i="7"/>
  <c r="AQ58" i="7" s="1"/>
  <c r="Q58" i="7"/>
  <c r="R58" i="7" s="1"/>
  <c r="S58" i="7" s="1"/>
  <c r="Q60" i="7"/>
  <c r="R60" i="7" s="1"/>
  <c r="S60" i="7" s="1"/>
  <c r="AP60" i="7"/>
  <c r="AQ60" i="7" s="1"/>
  <c r="AP57" i="7"/>
  <c r="AQ57" i="7" s="1"/>
  <c r="Q57" i="7"/>
  <c r="R57" i="7" s="1"/>
  <c r="S57" i="7" s="1"/>
  <c r="AP46" i="7"/>
  <c r="AQ46" i="7" s="1"/>
  <c r="Q46" i="7"/>
  <c r="R46" i="7" s="1"/>
  <c r="S46" i="7" s="1"/>
  <c r="Q64" i="7"/>
  <c r="R64" i="7" s="1"/>
  <c r="S64" i="7" s="1"/>
  <c r="AP64" i="7"/>
  <c r="AQ64" i="7" s="1"/>
  <c r="Q49" i="7"/>
  <c r="R49" i="7" s="1"/>
  <c r="S49" i="7" s="1"/>
  <c r="AP49" i="7"/>
  <c r="AQ49" i="7" s="1"/>
  <c r="AP61" i="7"/>
  <c r="AQ61" i="7" s="1"/>
  <c r="Q61" i="7"/>
  <c r="R61" i="7" s="1"/>
  <c r="S61" i="7" s="1"/>
  <c r="AP53" i="7"/>
  <c r="AQ53" i="7" s="1"/>
  <c r="Q53" i="7"/>
  <c r="R53" i="7" s="1"/>
  <c r="S53" i="7" s="1"/>
  <c r="AP62" i="7"/>
  <c r="AQ62" i="7" s="1"/>
  <c r="Q62" i="7"/>
  <c r="R62" i="7" s="1"/>
  <c r="S62" i="7" s="1"/>
  <c r="Q65" i="7"/>
  <c r="R65" i="7" s="1"/>
  <c r="S65" i="7" s="1"/>
  <c r="AP65" i="7"/>
  <c r="AQ65" i="7" s="1"/>
  <c r="D74" i="7"/>
  <c r="F74" i="7" s="1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O36" i="7" s="1"/>
  <c r="D14" i="7"/>
  <c r="E14" i="7"/>
  <c r="F14" i="7"/>
  <c r="G14" i="7"/>
  <c r="H14" i="7"/>
  <c r="I14" i="7"/>
  <c r="J14" i="7"/>
  <c r="K14" i="7"/>
  <c r="L14" i="7"/>
  <c r="M14" i="7"/>
  <c r="N14" i="7"/>
  <c r="O14" i="7"/>
  <c r="C14" i="7"/>
  <c r="H44" i="6"/>
  <c r="F44" i="6"/>
  <c r="H43" i="6"/>
  <c r="F43" i="6"/>
  <c r="F45" i="6" s="1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66" i="10" l="1"/>
  <c r="G105" i="10" s="1"/>
  <c r="W54" i="10"/>
  <c r="U58" i="10"/>
  <c r="G97" i="10" s="1"/>
  <c r="W50" i="10"/>
  <c r="C15" i="7"/>
  <c r="U54" i="10"/>
  <c r="G93" i="10" s="1"/>
  <c r="U50" i="10"/>
  <c r="G89" i="10" s="1"/>
  <c r="W62" i="11"/>
  <c r="U62" i="11"/>
  <c r="U57" i="11"/>
  <c r="W57" i="11"/>
  <c r="U51" i="11"/>
  <c r="W51" i="11"/>
  <c r="U53" i="11"/>
  <c r="W53" i="11"/>
  <c r="U61" i="11"/>
  <c r="W61" i="11"/>
  <c r="W52" i="11"/>
  <c r="U52" i="11"/>
  <c r="W46" i="11"/>
  <c r="U46" i="11"/>
  <c r="U65" i="11"/>
  <c r="W65" i="11"/>
  <c r="U63" i="11"/>
  <c r="W63" i="11"/>
  <c r="W56" i="11"/>
  <c r="U56" i="11"/>
  <c r="W58" i="11"/>
  <c r="U58" i="11"/>
  <c r="W48" i="11"/>
  <c r="U48" i="11"/>
  <c r="W50" i="11"/>
  <c r="U50" i="11"/>
  <c r="W64" i="11"/>
  <c r="U64" i="11"/>
  <c r="U49" i="11"/>
  <c r="W49" i="11"/>
  <c r="U55" i="11"/>
  <c r="W55" i="11"/>
  <c r="U47" i="11"/>
  <c r="W47" i="11"/>
  <c r="W54" i="11"/>
  <c r="U54" i="11"/>
  <c r="U59" i="11"/>
  <c r="W59" i="11"/>
  <c r="U46" i="10"/>
  <c r="G85" i="10" s="1"/>
  <c r="F85" i="10"/>
  <c r="S64" i="10"/>
  <c r="T64" i="10" s="1"/>
  <c r="F103" i="10" s="1"/>
  <c r="D103" i="10"/>
  <c r="E103" i="10" s="1"/>
  <c r="S60" i="10"/>
  <c r="T60" i="10" s="1"/>
  <c r="W60" i="10" s="1"/>
  <c r="D99" i="10"/>
  <c r="E99" i="10" s="1"/>
  <c r="S48" i="10"/>
  <c r="T48" i="10" s="1"/>
  <c r="F87" i="10" s="1"/>
  <c r="D87" i="10"/>
  <c r="E87" i="10" s="1"/>
  <c r="W55" i="10"/>
  <c r="U55" i="10"/>
  <c r="G94" i="10" s="1"/>
  <c r="S56" i="10"/>
  <c r="T56" i="10" s="1"/>
  <c r="W56" i="10" s="1"/>
  <c r="D95" i="10"/>
  <c r="E95" i="10" s="1"/>
  <c r="S52" i="10"/>
  <c r="T52" i="10" s="1"/>
  <c r="U52" i="10" s="1"/>
  <c r="G91" i="10" s="1"/>
  <c r="D91" i="10"/>
  <c r="E91" i="10" s="1"/>
  <c r="U64" i="10"/>
  <c r="G103" i="10" s="1"/>
  <c r="D16" i="7"/>
  <c r="D17" i="7"/>
  <c r="D18" i="7" s="1"/>
  <c r="D15" i="7"/>
  <c r="Q8" i="7" s="1"/>
  <c r="Q9" i="7" s="1"/>
  <c r="D38" i="7"/>
  <c r="D39" i="7" s="1"/>
  <c r="D37" i="7"/>
  <c r="D36" i="7"/>
  <c r="V65" i="7"/>
  <c r="T65" i="7"/>
  <c r="V49" i="7"/>
  <c r="T49" i="7"/>
  <c r="V60" i="7"/>
  <c r="T60" i="7"/>
  <c r="V50" i="7"/>
  <c r="T50" i="7"/>
  <c r="O17" i="7"/>
  <c r="O18" i="7" s="1"/>
  <c r="O15" i="7"/>
  <c r="O16" i="7"/>
  <c r="L17" i="7"/>
  <c r="L18" i="7" s="1"/>
  <c r="L16" i="7"/>
  <c r="L15" i="7"/>
  <c r="H38" i="7"/>
  <c r="H39" i="7" s="1"/>
  <c r="H36" i="7"/>
  <c r="H37" i="7"/>
  <c r="M17" i="7"/>
  <c r="M18" i="7" s="1"/>
  <c r="M15" i="7"/>
  <c r="M16" i="7"/>
  <c r="I17" i="7"/>
  <c r="I18" i="7" s="1"/>
  <c r="I15" i="7"/>
  <c r="I16" i="7"/>
  <c r="E17" i="7"/>
  <c r="E18" i="7" s="1"/>
  <c r="E15" i="7"/>
  <c r="E16" i="7"/>
  <c r="M38" i="7"/>
  <c r="M39" i="7" s="1"/>
  <c r="M37" i="7"/>
  <c r="M36" i="7"/>
  <c r="I38" i="7"/>
  <c r="I39" i="7" s="1"/>
  <c r="I37" i="7"/>
  <c r="I36" i="7"/>
  <c r="E38" i="7"/>
  <c r="E39" i="7" s="1"/>
  <c r="E37" i="7"/>
  <c r="E36" i="7"/>
  <c r="V53" i="7"/>
  <c r="T53" i="7"/>
  <c r="V46" i="7"/>
  <c r="T46" i="7"/>
  <c r="H17" i="7"/>
  <c r="H18" i="7" s="1"/>
  <c r="H16" i="7"/>
  <c r="H15" i="7"/>
  <c r="L38" i="7"/>
  <c r="L39" i="7" s="1"/>
  <c r="L36" i="7"/>
  <c r="L37" i="7"/>
  <c r="N17" i="7"/>
  <c r="N18" i="7" s="1"/>
  <c r="N15" i="7"/>
  <c r="N16" i="7"/>
  <c r="J17" i="7"/>
  <c r="J18" i="7" s="1"/>
  <c r="J15" i="7"/>
  <c r="J16" i="7"/>
  <c r="F17" i="7"/>
  <c r="F18" i="7" s="1"/>
  <c r="F16" i="7"/>
  <c r="F15" i="7"/>
  <c r="N38" i="7"/>
  <c r="N39" i="7" s="1"/>
  <c r="N36" i="7"/>
  <c r="N37" i="7"/>
  <c r="J38" i="7"/>
  <c r="J39" i="7" s="1"/>
  <c r="J36" i="7"/>
  <c r="J37" i="7"/>
  <c r="F38" i="7"/>
  <c r="F39" i="7" s="1"/>
  <c r="F36" i="7"/>
  <c r="F37" i="7"/>
  <c r="V64" i="7"/>
  <c r="T64" i="7"/>
  <c r="K17" i="7"/>
  <c r="K18" i="7" s="1"/>
  <c r="K15" i="7"/>
  <c r="K16" i="7"/>
  <c r="G17" i="7"/>
  <c r="G18" i="7" s="1"/>
  <c r="G15" i="7"/>
  <c r="G16" i="7"/>
  <c r="O38" i="7"/>
  <c r="O39" i="7" s="1"/>
  <c r="O37" i="7"/>
  <c r="K38" i="7"/>
  <c r="K39" i="7" s="1"/>
  <c r="K36" i="7"/>
  <c r="K37" i="7"/>
  <c r="G38" i="7"/>
  <c r="G39" i="7" s="1"/>
  <c r="G36" i="7"/>
  <c r="G37" i="7"/>
  <c r="V62" i="7"/>
  <c r="T62" i="7"/>
  <c r="V61" i="7"/>
  <c r="T61" i="7"/>
  <c r="V57" i="7"/>
  <c r="T57" i="7"/>
  <c r="V58" i="7"/>
  <c r="T58" i="7"/>
  <c r="V54" i="7"/>
  <c r="T54" i="7"/>
  <c r="C36" i="7"/>
  <c r="P33" i="6"/>
  <c r="Q32" i="6"/>
  <c r="R32" i="6" s="1"/>
  <c r="D31" i="6"/>
  <c r="P31" i="6"/>
  <c r="D33" i="6"/>
  <c r="G44" i="6"/>
  <c r="G43" i="6"/>
  <c r="H45" i="6"/>
  <c r="I44" i="6" s="1"/>
  <c r="Q30" i="6"/>
  <c r="R30" i="6" s="1"/>
  <c r="S45" i="4"/>
  <c r="K45" i="4" s="1"/>
  <c r="Q45" i="4"/>
  <c r="M45" i="4" s="1"/>
  <c r="C24" i="4"/>
  <c r="C41" i="4"/>
  <c r="C25" i="4"/>
  <c r="C42" i="4"/>
  <c r="S24" i="4"/>
  <c r="K24" i="4" s="1"/>
  <c r="Q24" i="4"/>
  <c r="M24" i="4" s="1"/>
  <c r="I43" i="6" l="1"/>
  <c r="U48" i="10"/>
  <c r="G87" i="10" s="1"/>
  <c r="W48" i="10"/>
  <c r="W64" i="10"/>
  <c r="W52" i="10"/>
  <c r="F91" i="10"/>
  <c r="U60" i="10"/>
  <c r="G99" i="10" s="1"/>
  <c r="F99" i="10"/>
  <c r="U56" i="10"/>
  <c r="G95" i="10" s="1"/>
  <c r="F95" i="10"/>
  <c r="K43" i="6"/>
  <c r="L43" i="6" s="1"/>
  <c r="K44" i="6"/>
  <c r="L44" i="6" s="1"/>
  <c r="P3" i="4"/>
  <c r="H3" i="4"/>
  <c r="P2" i="4"/>
  <c r="O2" i="4"/>
  <c r="N2" i="4"/>
  <c r="M2" i="4"/>
  <c r="L2" i="4"/>
  <c r="K2" i="4"/>
  <c r="J2" i="4"/>
  <c r="I2" i="4"/>
  <c r="H2" i="4"/>
  <c r="G2" i="4"/>
  <c r="F2" i="4"/>
  <c r="E2" i="4"/>
  <c r="D2" i="4"/>
  <c r="P32" i="3"/>
  <c r="P4" i="4" s="1"/>
  <c r="O32" i="3"/>
  <c r="O4" i="4" s="1"/>
  <c r="N32" i="3"/>
  <c r="N4" i="4" s="1"/>
  <c r="M32" i="3"/>
  <c r="M4" i="4" s="1"/>
  <c r="L32" i="3"/>
  <c r="L4" i="4" s="1"/>
  <c r="K32" i="3"/>
  <c r="K4" i="4" s="1"/>
  <c r="J32" i="3"/>
  <c r="J4" i="4" s="1"/>
  <c r="I32" i="3"/>
  <c r="I4" i="4" s="1"/>
  <c r="H32" i="3"/>
  <c r="H4" i="4" s="1"/>
  <c r="G32" i="3"/>
  <c r="G4" i="4" s="1"/>
  <c r="F32" i="3"/>
  <c r="F4" i="4" s="1"/>
  <c r="E32" i="3"/>
  <c r="E4" i="4" s="1"/>
  <c r="P30" i="3"/>
  <c r="O30" i="3"/>
  <c r="O3" i="4" s="1"/>
  <c r="N30" i="3"/>
  <c r="N3" i="4" s="1"/>
  <c r="M30" i="3"/>
  <c r="M3" i="4" s="1"/>
  <c r="L30" i="3"/>
  <c r="L3" i="4" s="1"/>
  <c r="K30" i="3"/>
  <c r="K3" i="4" s="1"/>
  <c r="J30" i="3"/>
  <c r="J3" i="4" s="1"/>
  <c r="I30" i="3"/>
  <c r="I3" i="4" s="1"/>
  <c r="H30" i="3"/>
  <c r="G30" i="3"/>
  <c r="G3" i="4" s="1"/>
  <c r="F30" i="3"/>
  <c r="F3" i="4" s="1"/>
  <c r="E30" i="3"/>
  <c r="E3" i="4" s="1"/>
  <c r="D30" i="3"/>
  <c r="D3" i="4" s="1"/>
  <c r="H44" i="3" l="1"/>
  <c r="Q30" i="3"/>
  <c r="R30" i="3" s="1"/>
  <c r="D32" i="3"/>
  <c r="D4" i="4" s="1"/>
  <c r="F44" i="3"/>
  <c r="H43" i="3"/>
  <c r="F43" i="3"/>
  <c r="P25" i="3"/>
  <c r="P33" i="3" s="1"/>
  <c r="O25" i="3"/>
  <c r="N25" i="3"/>
  <c r="M25" i="3"/>
  <c r="L25" i="3"/>
  <c r="K25" i="3"/>
  <c r="J25" i="3"/>
  <c r="I25" i="3"/>
  <c r="H25" i="3"/>
  <c r="G25" i="3"/>
  <c r="F25" i="3"/>
  <c r="E25" i="3"/>
  <c r="D25" i="3"/>
  <c r="D31" i="3" s="1"/>
  <c r="C22" i="1"/>
  <c r="H45" i="3" l="1"/>
  <c r="I43" i="3" s="1"/>
  <c r="P31" i="3"/>
  <c r="D33" i="3"/>
  <c r="F45" i="3"/>
  <c r="G43" i="3" s="1"/>
  <c r="K43" i="3" s="1"/>
  <c r="L43" i="3" s="1"/>
  <c r="I44" i="3"/>
  <c r="Q32" i="3"/>
  <c r="R32" i="3" s="1"/>
  <c r="G44" i="3"/>
  <c r="K44" i="3" l="1"/>
  <c r="L44" i="3" s="1"/>
</calcChain>
</file>

<file path=xl/sharedStrings.xml><?xml version="1.0" encoding="utf-8"?>
<sst xmlns="http://schemas.openxmlformats.org/spreadsheetml/2006/main" count="552" uniqueCount="135">
  <si>
    <t>District</t>
  </si>
  <si>
    <t>Total Area</t>
  </si>
  <si>
    <t>Total Area (Hektar)</t>
  </si>
  <si>
    <t>No</t>
  </si>
  <si>
    <t>Waan</t>
  </si>
  <si>
    <t>Tabonji</t>
  </si>
  <si>
    <t>Kimaam</t>
  </si>
  <si>
    <t>Ilwayab</t>
  </si>
  <si>
    <t>Ngguti</t>
  </si>
  <si>
    <t>Tubang</t>
  </si>
  <si>
    <t>Okaba</t>
  </si>
  <si>
    <t>Malinu</t>
  </si>
  <si>
    <t>Kurik</t>
  </si>
  <si>
    <t>Animba</t>
  </si>
  <si>
    <t>Tanah Miring</t>
  </si>
  <si>
    <t>Semangga</t>
  </si>
  <si>
    <t>Merauke</t>
  </si>
  <si>
    <t>Naukenjerai</t>
  </si>
  <si>
    <t>Sota</t>
  </si>
  <si>
    <t>Jagebob</t>
  </si>
  <si>
    <t>Elikobel</t>
  </si>
  <si>
    <t>Muting</t>
  </si>
  <si>
    <t>Ulilin</t>
  </si>
  <si>
    <t>Kaptel</t>
  </si>
  <si>
    <t>Merauke Regency</t>
  </si>
  <si>
    <t>Hutan Lahan Kering Primer</t>
  </si>
  <si>
    <t>Primary Dryland Forest</t>
  </si>
  <si>
    <t>Hutan Lahan Kering Sekunder</t>
  </si>
  <si>
    <t>Secondary Dryland Forest</t>
  </si>
  <si>
    <t>Hutan Mangrove Primer</t>
  </si>
  <si>
    <t>Primary Mangrove Forest</t>
  </si>
  <si>
    <t>Hutan Rawa Primer</t>
  </si>
  <si>
    <t>Primary Swamp Forest</t>
  </si>
  <si>
    <t>Belukar</t>
  </si>
  <si>
    <t>Bush/Shrub</t>
  </si>
  <si>
    <t>Pemukiman</t>
  </si>
  <si>
    <t>Settlement Area</t>
  </si>
  <si>
    <t>Tanah Terbuka</t>
  </si>
  <si>
    <t>Barren Land</t>
  </si>
  <si>
    <t>Awan</t>
  </si>
  <si>
    <t>Cloud Covered</t>
  </si>
  <si>
    <t>Savanna/Padang Rumput</t>
  </si>
  <si>
    <t>Grass Land</t>
  </si>
  <si>
    <t>Badan Air</t>
  </si>
  <si>
    <t>Water Body</t>
  </si>
  <si>
    <t>Hutan Mangrove Sekunder</t>
  </si>
  <si>
    <t>Secondary Mangrove Forest</t>
  </si>
  <si>
    <t>Hutan Rawa Sekunder</t>
  </si>
  <si>
    <t>Secondary Swamp Forest</t>
  </si>
  <si>
    <t>Belukar Rawa</t>
  </si>
  <si>
    <t>Swamp Shrub</t>
  </si>
  <si>
    <t>Pertanian Lahan Kering</t>
  </si>
  <si>
    <t>Dryland Agriculture</t>
  </si>
  <si>
    <t>Pertanian Lahan Kering Campur</t>
  </si>
  <si>
    <t>Shrub-Mixed Dryland Farm</t>
  </si>
  <si>
    <t>Sawah</t>
  </si>
  <si>
    <t>Rice Field</t>
  </si>
  <si>
    <t>Bandara/Pelabuhan</t>
  </si>
  <si>
    <t>Airport</t>
  </si>
  <si>
    <t>Transmigrasi</t>
  </si>
  <si>
    <t>Transmigration Area</t>
  </si>
  <si>
    <t>Rawa</t>
  </si>
  <si>
    <t>Swamp</t>
  </si>
  <si>
    <t>LC Class ID</t>
  </si>
  <si>
    <t>LC Class EN</t>
  </si>
  <si>
    <t>Perkebunan</t>
  </si>
  <si>
    <t>Estate Cropplantation</t>
  </si>
  <si>
    <t>Tambak</t>
  </si>
  <si>
    <t>Fish Pond</t>
  </si>
  <si>
    <r>
      <t>±</t>
    </r>
    <r>
      <rPr>
        <b/>
        <sz val="7.7"/>
        <color theme="1"/>
        <rFont val="Calibri"/>
        <family val="2"/>
      </rPr>
      <t xml:space="preserve"> 300 Ha</t>
    </r>
  </si>
  <si>
    <t>Area Estimation per Year (Hektar)</t>
  </si>
  <si>
    <t>Natural forest</t>
  </si>
  <si>
    <t>Non forest</t>
  </si>
  <si>
    <t xml:space="preserve">grafik tahun 1990 (persentasi tiap lahan) </t>
  </si>
  <si>
    <t>grafik tahun 2019 (persentasi tiap lahan)</t>
  </si>
  <si>
    <t>tapi p iv bikin biar nampak nama kategori nya juga atau disusun pertama 6 natural forest trus baru non forest kah</t>
  </si>
  <si>
    <t>kalau dengan T test tu: untuk melihat apa signifikan perubahan untuk ke 2 kategori itu dari thn 1990 dgn tahun 2019 gitu p iv</t>
  </si>
  <si>
    <t>NF</t>
  </si>
  <si>
    <t>F</t>
  </si>
  <si>
    <t>JML</t>
  </si>
  <si>
    <t>Ha</t>
  </si>
  <si>
    <t>(%)</t>
  </si>
  <si>
    <t>PERUBAHAN</t>
  </si>
  <si>
    <t>PER THN</t>
  </si>
  <si>
    <t>(1990 s.d 2019)</t>
  </si>
  <si>
    <t>NON FOREST</t>
  </si>
  <si>
    <t>NATURAL FOREST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</si>
  <si>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</si>
  <si>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</si>
  <si>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</si>
  <si>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</si>
  <si>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</si>
  <si>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</si>
  <si>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</si>
  <si>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</si>
  <si>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</si>
  <si>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</si>
  <si>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</si>
  <si>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</si>
  <si>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TIDAK ADA PERUBAHAN SIGNIFIKAN</t>
  </si>
  <si>
    <t>ADA PERUBAHAN SIGNIFIKAN</t>
  </si>
  <si>
    <t>TAHUN</t>
  </si>
  <si>
    <r>
      <t>Tingkat kepercayaan 95% (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= 0.05)</t>
    </r>
  </si>
  <si>
    <t>Ho :</t>
  </si>
  <si>
    <t>H1 :</t>
  </si>
  <si>
    <t>Daerah penolakan Ho</t>
  </si>
  <si>
    <t>Daerah penerimaan Ho</t>
  </si>
  <si>
    <t>F-Test Two-Sample for Variances</t>
  </si>
  <si>
    <t>P(F&lt;=f) one-tail</t>
  </si>
  <si>
    <t>F Critical one-tail</t>
  </si>
  <si>
    <t>LC Class</t>
  </si>
  <si>
    <t>Natural Forest</t>
  </si>
  <si>
    <t>Non Forest</t>
  </si>
  <si>
    <t>Year</t>
  </si>
  <si>
    <t>(Ha)</t>
  </si>
  <si>
    <t>Paddy Field</t>
  </si>
  <si>
    <t>Total Changed Area (ha)</t>
  </si>
  <si>
    <t>Total changed area (ha)</t>
  </si>
  <si>
    <t>Percentage of change (%)</t>
  </si>
  <si>
    <t>Change rate (ha/yr)</t>
  </si>
  <si>
    <t>Table</t>
  </si>
  <si>
    <t>Total changed area (ha) and the precentage of change in each category (Natural Forest and Non Forest) of Merauke Regency over time</t>
  </si>
  <si>
    <t xml:space="preserve">Land cover changes of each class in Merauke Regency </t>
  </si>
  <si>
    <t>Total changed area</t>
  </si>
  <si>
    <t>ha</t>
  </si>
  <si>
    <t>%</t>
  </si>
  <si>
    <t>Changed rate (ha/yr)</t>
  </si>
  <si>
    <t>Gain (+)</t>
  </si>
  <si>
    <t>Loss(-)</t>
  </si>
  <si>
    <t>Net(+/-)</t>
  </si>
  <si>
    <t>% by total</t>
  </si>
  <si>
    <t xml:space="preserve">Natural Forest </t>
  </si>
  <si>
    <t xml:space="preserve">Total </t>
  </si>
  <si>
    <t>changed area</t>
  </si>
  <si>
    <t>Total Changed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</si>
</sst>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_-* #,##0.00_-;\-* #,##0.00_-;_-* &quot;-&quot;_-;_-@_-"/>
    <numFmt numFmtId="168" formatCode="_-* #,##0.000_-;\-* #,##0.000_-;_-* &quot;-&quot;_-;_-@_-"/>
    <numFmt numFmtId="169" formatCode="_-* #,##0.0000_-;\-* #,##0.0000_-;_-* &quot;-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Up">
        <bgColor theme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DotDot">
        <color indexed="64"/>
      </left>
      <right/>
      <top/>
      <bottom/>
      <diagonal/>
    </border>
    <border>
      <left style="mediumDashDotDot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medium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05">
    <xf numFmtId="0" fontId="0" fillId="0" borderId="0" xfId="0"/>
    <xf numFmtId="164" fontId="0" fillId="0" borderId="0" xfId="1" applyFont="1"/>
    <xf numFmtId="0" fontId="0" fillId="0" borderId="1" xfId="0" applyBorder="1"/>
    <xf numFmtId="1" fontId="0" fillId="0" borderId="1" xfId="0" applyNumberFormat="1" applyBorder="1"/>
    <xf numFmtId="164" fontId="0" fillId="0" borderId="1" xfId="1" applyFont="1" applyBorder="1"/>
    <xf numFmtId="0" fontId="2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2" fillId="5" borderId="1" xfId="1" applyFont="1" applyFill="1" applyBorder="1"/>
    <xf numFmtId="0" fontId="3" fillId="5" borderId="1" xfId="0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Font="1" applyFill="1" applyBorder="1"/>
    <xf numFmtId="0" fontId="0" fillId="7" borderId="1" xfId="0" applyFill="1" applyBorder="1"/>
    <xf numFmtId="164" fontId="0" fillId="7" borderId="1" xfId="1" applyFont="1" applyFill="1" applyBorder="1"/>
    <xf numFmtId="0" fontId="0" fillId="7" borderId="0" xfId="0" applyFill="1"/>
    <xf numFmtId="164" fontId="0" fillId="7" borderId="4" xfId="1" applyFont="1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0" xfId="0" applyFill="1"/>
    <xf numFmtId="10" fontId="0" fillId="0" borderId="0" xfId="2" applyNumberFormat="1" applyFont="1"/>
    <xf numFmtId="0" fontId="0" fillId="0" borderId="0" xfId="0" applyAlignment="1">
      <alignment horizontal="right"/>
    </xf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6" xfId="0" applyBorder="1"/>
    <xf numFmtId="0" fontId="6" fillId="0" borderId="7" xfId="0" applyFont="1" applyBorder="1" applyAlignment="1">
      <alignment horizontal="center"/>
    </xf>
    <xf numFmtId="0" fontId="0" fillId="11" borderId="0" xfId="0" applyFill="1"/>
    <xf numFmtId="0" fontId="7" fillId="0" borderId="7" xfId="0" applyFont="1" applyBorder="1" applyAlignment="1">
      <alignment horizontal="center" vertical="top" wrapText="1"/>
    </xf>
    <xf numFmtId="0" fontId="2" fillId="0" borderId="0" xfId="0" applyFont="1"/>
    <xf numFmtId="0" fontId="0" fillId="12" borderId="6" xfId="0" applyFill="1" applyBorder="1"/>
    <xf numFmtId="0" fontId="10" fillId="0" borderId="0" xfId="0" applyFont="1" applyAlignment="1">
      <alignment vertical="center"/>
    </xf>
    <xf numFmtId="0" fontId="11" fillId="7" borderId="8" xfId="3" applyFill="1" applyBorder="1" applyAlignment="1">
      <alignment vertical="center"/>
    </xf>
    <xf numFmtId="0" fontId="0" fillId="7" borderId="5" xfId="0" applyFill="1" applyBorder="1"/>
    <xf numFmtId="0" fontId="11" fillId="7" borderId="9" xfId="3" applyFill="1" applyBorder="1" applyAlignment="1">
      <alignment vertical="center"/>
    </xf>
    <xf numFmtId="0" fontId="11" fillId="7" borderId="10" xfId="3" applyFill="1" applyBorder="1" applyAlignment="1">
      <alignment vertical="center"/>
    </xf>
    <xf numFmtId="0" fontId="0" fillId="7" borderId="11" xfId="0" applyFill="1" applyBorder="1"/>
    <xf numFmtId="0" fontId="0" fillId="7" borderId="12" xfId="0" applyFill="1" applyBorder="1"/>
    <xf numFmtId="0" fontId="11" fillId="7" borderId="13" xfId="3" applyFill="1" applyBorder="1" applyAlignment="1">
      <alignment vertical="center"/>
    </xf>
    <xf numFmtId="0" fontId="0" fillId="7" borderId="14" xfId="0" applyFill="1" applyBorder="1"/>
    <xf numFmtId="0" fontId="0" fillId="7" borderId="6" xfId="0" applyFill="1" applyBorder="1"/>
    <xf numFmtId="0" fontId="0" fillId="7" borderId="15" xfId="0" applyFill="1" applyBorder="1"/>
    <xf numFmtId="0" fontId="0" fillId="13" borderId="0" xfId="0" applyFill="1"/>
    <xf numFmtId="0" fontId="0" fillId="13" borderId="16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10" fillId="7" borderId="20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/>
    </xf>
    <xf numFmtId="1" fontId="13" fillId="0" borderId="0" xfId="0" applyNumberFormat="1" applyFont="1"/>
    <xf numFmtId="164" fontId="13" fillId="0" borderId="0" xfId="1" applyFont="1"/>
    <xf numFmtId="0" fontId="16" fillId="7" borderId="1" xfId="0" applyFont="1" applyFill="1" applyBorder="1"/>
    <xf numFmtId="0" fontId="15" fillId="7" borderId="1" xfId="0" applyFont="1" applyFill="1" applyBorder="1"/>
    <xf numFmtId="0" fontId="16" fillId="0" borderId="22" xfId="0" applyFont="1" applyBorder="1" applyAlignment="1">
      <alignment horizontal="center"/>
    </xf>
    <xf numFmtId="1" fontId="15" fillId="7" borderId="24" xfId="1" applyNumberFormat="1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164" fontId="14" fillId="0" borderId="1" xfId="1" applyFont="1" applyBorder="1" applyAlignment="1">
      <alignment horizontal="center"/>
    </xf>
    <xf numFmtId="164" fontId="16" fillId="0" borderId="1" xfId="1" applyFont="1" applyBorder="1"/>
    <xf numFmtId="164" fontId="16" fillId="7" borderId="1" xfId="1" applyFont="1" applyFill="1" applyBorder="1"/>
    <xf numFmtId="0" fontId="15" fillId="15" borderId="1" xfId="0" applyFont="1" applyFill="1" applyBorder="1"/>
    <xf numFmtId="164" fontId="15" fillId="0" borderId="1" xfId="0" applyNumberFormat="1" applyFont="1" applyBorder="1"/>
    <xf numFmtId="0" fontId="16" fillId="0" borderId="26" xfId="0" applyFont="1" applyBorder="1" applyAlignment="1">
      <alignment horizontal="center"/>
    </xf>
    <xf numFmtId="0" fontId="15" fillId="15" borderId="1" xfId="0" applyFont="1" applyFill="1" applyBorder="1" applyAlignment="1">
      <alignment horizontal="left" vertical="center"/>
    </xf>
    <xf numFmtId="0" fontId="0" fillId="15" borderId="1" xfId="0" applyFill="1" applyBorder="1"/>
    <xf numFmtId="0" fontId="15" fillId="15" borderId="24" xfId="0" applyFont="1" applyFill="1" applyBorder="1"/>
    <xf numFmtId="164" fontId="0" fillId="15" borderId="1" xfId="1" applyFont="1" applyFill="1" applyBorder="1"/>
    <xf numFmtId="0" fontId="16" fillId="0" borderId="0" xfId="0" applyFont="1"/>
    <xf numFmtId="0" fontId="16" fillId="0" borderId="1" xfId="0" applyFont="1" applyBorder="1" applyAlignment="1">
      <alignment horizontal="center"/>
    </xf>
    <xf numFmtId="164" fontId="1" fillId="7" borderId="0" xfId="1" applyFont="1" applyFill="1" applyBorder="1"/>
    <xf numFmtId="167" fontId="15" fillId="0" borderId="1" xfId="0" applyNumberFormat="1" applyFont="1" applyBorder="1"/>
    <xf numFmtId="167" fontId="0" fillId="0" borderId="0" xfId="0" applyNumberFormat="1"/>
    <xf numFmtId="167" fontId="16" fillId="0" borderId="1" xfId="1" applyNumberFormat="1" applyFont="1" applyBorder="1"/>
    <xf numFmtId="167" fontId="14" fillId="0" borderId="1" xfId="1" applyNumberFormat="1" applyFont="1" applyBorder="1" applyAlignment="1">
      <alignment horizontal="center"/>
    </xf>
    <xf numFmtId="167" fontId="16" fillId="7" borderId="1" xfId="1" applyNumberFormat="1" applyFont="1" applyFill="1" applyBorder="1"/>
    <xf numFmtId="165" fontId="0" fillId="0" borderId="0" xfId="0" applyNumberFormat="1"/>
    <xf numFmtId="165" fontId="16" fillId="0" borderId="1" xfId="0" applyNumberFormat="1" applyFont="1" applyBorder="1"/>
    <xf numFmtId="167" fontId="16" fillId="0" borderId="2" xfId="1" applyNumberFormat="1" applyFont="1" applyBorder="1"/>
    <xf numFmtId="0" fontId="16" fillId="0" borderId="29" xfId="0" applyFont="1" applyBorder="1" applyAlignment="1">
      <alignment horizontal="center"/>
    </xf>
    <xf numFmtId="167" fontId="16" fillId="0" borderId="29" xfId="0" applyNumberFormat="1" applyFont="1" applyBorder="1"/>
    <xf numFmtId="0" fontId="15" fillId="7" borderId="19" xfId="0" applyFont="1" applyFill="1" applyBorder="1" applyAlignment="1">
      <alignment horizontal="center" vertical="center"/>
    </xf>
    <xf numFmtId="167" fontId="14" fillId="0" borderId="2" xfId="1" applyNumberFormat="1" applyFont="1" applyBorder="1" applyAlignment="1">
      <alignment horizontal="center"/>
    </xf>
    <xf numFmtId="167" fontId="16" fillId="7" borderId="2" xfId="1" applyNumberFormat="1" applyFont="1" applyFill="1" applyBorder="1"/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167" fontId="16" fillId="0" borderId="36" xfId="1" applyNumberFormat="1" applyFont="1" applyBorder="1"/>
    <xf numFmtId="167" fontId="16" fillId="0" borderId="37" xfId="1" applyNumberFormat="1" applyFont="1" applyBorder="1"/>
    <xf numFmtId="165" fontId="16" fillId="16" borderId="1" xfId="0" applyNumberFormat="1" applyFont="1" applyFill="1" applyBorder="1"/>
    <xf numFmtId="167" fontId="16" fillId="0" borderId="27" xfId="0" applyNumberFormat="1" applyFont="1" applyBorder="1"/>
    <xf numFmtId="0" fontId="17" fillId="0" borderId="0" xfId="0" applyFont="1"/>
    <xf numFmtId="167" fontId="16" fillId="16" borderId="1" xfId="1" applyNumberFormat="1" applyFont="1" applyFill="1" applyBorder="1"/>
    <xf numFmtId="168" fontId="0" fillId="0" borderId="0" xfId="1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0" xfId="0" applyNumberFormat="1" applyFont="1"/>
    <xf numFmtId="167" fontId="15" fillId="0" borderId="1" xfId="1" applyNumberFormat="1" applyFont="1" applyBorder="1"/>
    <xf numFmtId="168" fontId="15" fillId="0" borderId="1" xfId="0" applyNumberFormat="1" applyFont="1" applyBorder="1"/>
    <xf numFmtId="169" fontId="15" fillId="0" borderId="1" xfId="0" applyNumberFormat="1" applyFont="1" applyBorder="1"/>
    <xf numFmtId="167" fontId="0" fillId="0" borderId="0" xfId="1" applyNumberFormat="1" applyFont="1"/>
    <xf numFmtId="2" fontId="0" fillId="0" borderId="0" xfId="0" applyNumberFormat="1"/>
    <xf numFmtId="164" fontId="18" fillId="0" borderId="0" xfId="1" applyFont="1" applyBorder="1" applyAlignment="1">
      <alignment horizontal="center"/>
    </xf>
    <xf numFmtId="164" fontId="18" fillId="0" borderId="0" xfId="1" applyFont="1" applyBorder="1"/>
    <xf numFmtId="0" fontId="0" fillId="0" borderId="0" xfId="0" applyAlignment="1">
      <alignment textRotation="90"/>
    </xf>
    <xf numFmtId="164" fontId="15" fillId="0" borderId="0" xfId="1" applyFont="1" applyBorder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0" fillId="15" borderId="0" xfId="0" applyFill="1"/>
    <xf numFmtId="164" fontId="14" fillId="0" borderId="0" xfId="1" applyFont="1" applyBorder="1" applyAlignment="1">
      <alignment horizontal="center"/>
    </xf>
    <xf numFmtId="164" fontId="16" fillId="0" borderId="0" xfId="1" applyFont="1" applyBorder="1"/>
    <xf numFmtId="164" fontId="16" fillId="7" borderId="0" xfId="1" applyFont="1" applyFill="1" applyBorder="1"/>
    <xf numFmtId="164" fontId="15" fillId="0" borderId="0" xfId="0" applyNumberFormat="1" applyFont="1"/>
    <xf numFmtId="167" fontId="15" fillId="0" borderId="0" xfId="0" applyNumberFormat="1" applyFont="1"/>
    <xf numFmtId="168" fontId="15" fillId="0" borderId="0" xfId="0" applyNumberFormat="1" applyFont="1"/>
    <xf numFmtId="167" fontId="15" fillId="0" borderId="0" xfId="1" applyNumberFormat="1" applyFont="1" applyBorder="1"/>
    <xf numFmtId="164" fontId="15" fillId="0" borderId="27" xfId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167" fontId="14" fillId="0" borderId="23" xfId="1" applyNumberFormat="1" applyFont="1" applyBorder="1" applyAlignment="1">
      <alignment horizontal="center"/>
    </xf>
    <xf numFmtId="0" fontId="19" fillId="0" borderId="0" xfId="0" applyFont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26" xfId="0" applyFont="1" applyBorder="1" applyAlignment="1">
      <alignment horizontal="center"/>
    </xf>
    <xf numFmtId="167" fontId="19" fillId="0" borderId="1" xfId="0" applyNumberFormat="1" applyFont="1" applyBorder="1"/>
    <xf numFmtId="0" fontId="20" fillId="15" borderId="1" xfId="0" applyFont="1" applyFill="1" applyBorder="1" applyAlignment="1">
      <alignment horizontal="left" vertical="center"/>
    </xf>
    <xf numFmtId="0" fontId="19" fillId="7" borderId="1" xfId="0" applyFont="1" applyFill="1" applyBorder="1"/>
    <xf numFmtId="0" fontId="20" fillId="15" borderId="24" xfId="0" applyFont="1" applyFill="1" applyBorder="1"/>
    <xf numFmtId="0" fontId="20" fillId="15" borderId="1" xfId="0" applyFont="1" applyFill="1" applyBorder="1"/>
    <xf numFmtId="0" fontId="20" fillId="7" borderId="1" xfId="0" applyFont="1" applyFill="1" applyBorder="1"/>
    <xf numFmtId="1" fontId="20" fillId="7" borderId="24" xfId="1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/>
    </xf>
    <xf numFmtId="164" fontId="19" fillId="0" borderId="1" xfId="1" applyFont="1" applyBorder="1"/>
    <xf numFmtId="164" fontId="19" fillId="7" borderId="1" xfId="1" applyFont="1" applyFill="1" applyBorder="1"/>
    <xf numFmtId="164" fontId="20" fillId="0" borderId="1" xfId="0" applyNumberFormat="1" applyFont="1" applyBorder="1"/>
    <xf numFmtId="167" fontId="20" fillId="0" borderId="1" xfId="0" applyNumberFormat="1" applyFont="1" applyBorder="1"/>
    <xf numFmtId="167" fontId="20" fillId="0" borderId="1" xfId="1" applyNumberFormat="1" applyFont="1" applyBorder="1"/>
    <xf numFmtId="167" fontId="19" fillId="0" borderId="1" xfId="1" applyNumberFormat="1" applyFont="1" applyBorder="1"/>
    <xf numFmtId="167" fontId="19" fillId="7" borderId="1" xfId="1" applyNumberFormat="1" applyFont="1" applyFill="1" applyBorder="1"/>
    <xf numFmtId="167" fontId="19" fillId="16" borderId="1" xfId="1" applyNumberFormat="1" applyFont="1" applyFill="1" applyBorder="1"/>
    <xf numFmtId="0" fontId="19" fillId="15" borderId="1" xfId="0" applyFont="1" applyFill="1" applyBorder="1"/>
    <xf numFmtId="164" fontId="19" fillId="0" borderId="1" xfId="1" applyFont="1" applyBorder="1" applyAlignment="1">
      <alignment horizontal="center"/>
    </xf>
    <xf numFmtId="167" fontId="19" fillId="0" borderId="1" xfId="1" applyNumberFormat="1" applyFont="1" applyBorder="1" applyAlignment="1">
      <alignment horizontal="center"/>
    </xf>
    <xf numFmtId="0" fontId="20" fillId="7" borderId="24" xfId="0" applyFont="1" applyFill="1" applyBorder="1" applyAlignment="1">
      <alignment horizontal="center" vertical="center"/>
    </xf>
    <xf numFmtId="168" fontId="20" fillId="0" borderId="1" xfId="0" applyNumberFormat="1" applyFont="1" applyBorder="1"/>
    <xf numFmtId="168" fontId="19" fillId="0" borderId="0" xfId="1" applyNumberFormat="1" applyFont="1"/>
    <xf numFmtId="169" fontId="20" fillId="0" borderId="1" xfId="0" applyNumberFormat="1" applyFont="1" applyBorder="1"/>
    <xf numFmtId="0" fontId="20" fillId="7" borderId="19" xfId="0" applyFont="1" applyFill="1" applyBorder="1" applyAlignment="1">
      <alignment horizontal="center" vertical="center"/>
    </xf>
    <xf numFmtId="167" fontId="19" fillId="0" borderId="2" xfId="1" applyNumberFormat="1" applyFont="1" applyBorder="1"/>
    <xf numFmtId="167" fontId="19" fillId="7" borderId="2" xfId="1" applyNumberFormat="1" applyFont="1" applyFill="1" applyBorder="1"/>
    <xf numFmtId="164" fontId="19" fillId="15" borderId="1" xfId="1" applyFont="1" applyFill="1" applyBorder="1"/>
    <xf numFmtId="167" fontId="19" fillId="0" borderId="2" xfId="1" applyNumberFormat="1" applyFont="1" applyBorder="1" applyAlignment="1">
      <alignment horizontal="center"/>
    </xf>
    <xf numFmtId="167" fontId="19" fillId="0" borderId="0" xfId="1" applyNumberFormat="1" applyFont="1"/>
    <xf numFmtId="165" fontId="19" fillId="0" borderId="0" xfId="0" applyNumberFormat="1" applyFont="1"/>
    <xf numFmtId="165" fontId="19" fillId="0" borderId="1" xfId="0" applyNumberFormat="1" applyFont="1" applyBorder="1"/>
    <xf numFmtId="0" fontId="19" fillId="7" borderId="0" xfId="0" applyFont="1" applyFill="1"/>
    <xf numFmtId="167" fontId="19" fillId="0" borderId="0" xfId="1" applyNumberFormat="1" applyFont="1" applyBorder="1"/>
    <xf numFmtId="167" fontId="19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166" fontId="12" fillId="14" borderId="0" xfId="0" applyNumberFormat="1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0" fontId="16" fillId="0" borderId="30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164" fontId="15" fillId="0" borderId="2" xfId="1" applyFont="1" applyBorder="1" applyAlignment="1">
      <alignment horizontal="center"/>
    </xf>
    <xf numFmtId="164" fontId="16" fillId="0" borderId="23" xfId="1" applyFont="1" applyBorder="1" applyAlignment="1">
      <alignment horizontal="center"/>
    </xf>
    <xf numFmtId="164" fontId="16" fillId="0" borderId="3" xfId="1" applyFont="1" applyBorder="1" applyAlignment="1">
      <alignment horizontal="center"/>
    </xf>
    <xf numFmtId="0" fontId="15" fillId="7" borderId="24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26" xfId="0" applyFont="1" applyFill="1" applyBorder="1" applyAlignment="1">
      <alignment horizontal="center" vertical="center"/>
    </xf>
    <xf numFmtId="164" fontId="20" fillId="0" borderId="2" xfId="1" applyFont="1" applyBorder="1" applyAlignment="1">
      <alignment horizontal="center"/>
    </xf>
    <xf numFmtId="164" fontId="20" fillId="0" borderId="23" xfId="1" applyFont="1" applyBorder="1" applyAlignment="1">
      <alignment horizontal="center"/>
    </xf>
    <xf numFmtId="164" fontId="20" fillId="0" borderId="3" xfId="1" applyFont="1" applyBorder="1" applyAlignment="1">
      <alignment horizontal="center"/>
    </xf>
    <xf numFmtId="164" fontId="20" fillId="0" borderId="38" xfId="1" applyFont="1" applyBorder="1" applyAlignment="1">
      <alignment horizontal="center"/>
    </xf>
  </cellXfs>
  <cellStyles count="4">
    <cellStyle name="Comma [0]" xfId="1" builtinId="6"/>
    <cellStyle name="Normal" xfId="0" builtinId="0"/>
    <cellStyle name="Normal 2 3 2" xfId="3" xr:uid="{00000000-0005-0000-0000-000002000000}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52398331711416E-2"/>
          <c:y val="4.4898331863483944E-2"/>
          <c:w val="0.86202615945857008"/>
          <c:h val="0.89995395052121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graph1!$C$6</c:f>
              <c:strCache>
                <c:ptCount val="1"/>
                <c:pt idx="0">
                  <c:v>Non forest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graph1!$D$4:$P$4</c:f>
              <c:numCache>
                <c:formatCode>General</c:formatCode>
                <c:ptCount val="13"/>
                <c:pt idx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graph1!$D$6:$P$6</c:f>
              <c:numCache>
                <c:formatCode>_-* #,##0.00_-;\-* #,##0.00_-;_-* "-"_-;_-@_-</c:formatCode>
                <c:ptCount val="13"/>
                <c:pt idx="0">
                  <c:v>49.7</c:v>
                </c:pt>
                <c:pt idx="1">
                  <c:v>53.3</c:v>
                </c:pt>
                <c:pt idx="2">
                  <c:v>56.91</c:v>
                </c:pt>
                <c:pt idx="3">
                  <c:v>57.32</c:v>
                </c:pt>
                <c:pt idx="4">
                  <c:v>58.29</c:v>
                </c:pt>
                <c:pt idx="5">
                  <c:v>58.3</c:v>
                </c:pt>
                <c:pt idx="6">
                  <c:v>58.31</c:v>
                </c:pt>
                <c:pt idx="7">
                  <c:v>58.26</c:v>
                </c:pt>
                <c:pt idx="8">
                  <c:v>59.25</c:v>
                </c:pt>
                <c:pt idx="9">
                  <c:v>59.73</c:v>
                </c:pt>
                <c:pt idx="10">
                  <c:v>59.83</c:v>
                </c:pt>
                <c:pt idx="11">
                  <c:v>60.54</c:v>
                </c:pt>
                <c:pt idx="12">
                  <c:v>57.03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2-4996-9A03-EA03B2253BAE}"/>
            </c:ext>
          </c:extLst>
        </c:ser>
        <c:ser>
          <c:idx val="0"/>
          <c:order val="1"/>
          <c:tx>
            <c:strRef>
              <c:f>graph1!$C$5</c:f>
              <c:strCache>
                <c:ptCount val="1"/>
                <c:pt idx="0">
                  <c:v>Natural forest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graph1!$D$4:$P$4</c:f>
              <c:numCache>
                <c:formatCode>General</c:formatCode>
                <c:ptCount val="13"/>
                <c:pt idx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graph1!$D$5:$P$5</c:f>
              <c:numCache>
                <c:formatCode>_-* #,##0.00_-;\-* #,##0.00_-;_-* "-"_-;_-@_-</c:formatCode>
                <c:ptCount val="13"/>
                <c:pt idx="0">
                  <c:v>50.3</c:v>
                </c:pt>
                <c:pt idx="1">
                  <c:v>46.7</c:v>
                </c:pt>
                <c:pt idx="2">
                  <c:v>43.09</c:v>
                </c:pt>
                <c:pt idx="3">
                  <c:v>42.68</c:v>
                </c:pt>
                <c:pt idx="4">
                  <c:v>41.71</c:v>
                </c:pt>
                <c:pt idx="5">
                  <c:v>41.7</c:v>
                </c:pt>
                <c:pt idx="6">
                  <c:v>42.69</c:v>
                </c:pt>
                <c:pt idx="7">
                  <c:v>41.74</c:v>
                </c:pt>
                <c:pt idx="8">
                  <c:v>40.74</c:v>
                </c:pt>
                <c:pt idx="9">
                  <c:v>40.270000000000003</c:v>
                </c:pt>
                <c:pt idx="10">
                  <c:v>40.17</c:v>
                </c:pt>
                <c:pt idx="11">
                  <c:v>39.46</c:v>
                </c:pt>
                <c:pt idx="12">
                  <c:v>42.97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2-4996-9A03-EA03B225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40544"/>
        <c:axId val="162575104"/>
      </c:barChart>
      <c:catAx>
        <c:axId val="893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2575104"/>
        <c:crosses val="autoZero"/>
        <c:auto val="1"/>
        <c:lblAlgn val="ctr"/>
        <c:lblOffset val="100"/>
        <c:noMultiLvlLbl val="0"/>
      </c:catAx>
      <c:valAx>
        <c:axId val="162575104"/>
        <c:scaling>
          <c:orientation val="minMax"/>
          <c:max val="6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8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 b="0">
                    <a:latin typeface="Times New Roman" pitchFamily="18" charset="0"/>
                    <a:cs typeface="Times New Roman" pitchFamily="18" charset="0"/>
                  </a:rPr>
                  <a:t>Percentage (%)</a:t>
                </a:r>
              </a:p>
            </c:rich>
          </c:tx>
          <c:overlay val="0"/>
        </c:title>
        <c:numFmt formatCode="_-* #,##0.00_-;\-* #,##0.00_-;_-* &quot;-&quot;_-;_-@_-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340544"/>
        <c:crosses val="autoZero"/>
        <c:crossBetween val="between"/>
        <c:majorUnit val="5"/>
        <c:minorUnit val="1"/>
      </c:valAx>
    </c:plotArea>
    <c:legend>
      <c:legendPos val="r"/>
      <c:layout>
        <c:manualLayout>
          <c:xMode val="edge"/>
          <c:yMode val="edge"/>
          <c:x val="0.9217256425170598"/>
          <c:y val="8.8360791633222135E-2"/>
          <c:w val="6.9483671815390446E-2"/>
          <c:h val="6.2565339564030112E-2"/>
        </c:manualLayout>
      </c:layout>
      <c:overlay val="0"/>
      <c:txPr>
        <a:bodyPr/>
        <a:lstStyle/>
        <a:p>
          <a:pPr>
            <a:defRPr sz="7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1540958695959"/>
          <c:y val="3.9865420772134182E-2"/>
          <c:w val="0.80907704793479762"/>
          <c:h val="0.87941333634911456"/>
        </c:manualLayout>
      </c:layout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Natural forest</c:v>
                </c:pt>
              </c:strCache>
            </c:strRef>
          </c:tx>
          <c:dLbls>
            <c:dLbl>
              <c:idx val="0"/>
              <c:layout>
                <c:manualLayout>
                  <c:x val="-3.6917668592705254E-2"/>
                  <c:y val="5.1660514937368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8A-485E-BE22-3340166E5E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8A-485E-BE22-3340166E5E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8A-485E-BE22-3340166E5E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8A-485E-BE22-3340166E5E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8A-485E-BE22-3340166E5E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8A-485E-BE22-3340166E5E4A}"/>
                </c:ext>
              </c:extLst>
            </c:dLbl>
            <c:dLbl>
              <c:idx val="6"/>
              <c:layout>
                <c:manualLayout>
                  <c:x val="1.0254907942418127E-2"/>
                  <c:y val="2.5830257468684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8A-485E-BE22-3340166E5E4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8A-485E-BE22-3340166E5E4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8A-485E-BE22-3340166E5E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8A-485E-BE22-3340166E5E4A}"/>
                </c:ext>
              </c:extLst>
            </c:dLbl>
            <c:dLbl>
              <c:idx val="10"/>
              <c:layout>
                <c:manualLayout>
                  <c:x val="1.0254907942418127E-2"/>
                  <c:y val="3.7310371899210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8A-485E-BE22-3340166E5E4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8A-485E-BE22-3340166E5E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Sheet2!$D$4:$P$4</c:f>
              <c:numCache>
                <c:formatCode>General</c:formatCode>
                <c:ptCount val="13"/>
                <c:pt idx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Sheet2!$D$5:$P$5</c:f>
              <c:numCache>
                <c:formatCode>_-* #,##0_-;\-* #,##0_-;_-* "-"_-;_-@_-</c:formatCode>
                <c:ptCount val="13"/>
                <c:pt idx="0">
                  <c:v>2440396</c:v>
                </c:pt>
                <c:pt idx="1">
                  <c:v>2265600</c:v>
                </c:pt>
                <c:pt idx="2">
                  <c:v>2090804</c:v>
                </c:pt>
                <c:pt idx="3">
                  <c:v>2070891</c:v>
                </c:pt>
                <c:pt idx="4">
                  <c:v>2023668</c:v>
                </c:pt>
                <c:pt idx="5">
                  <c:v>2023051</c:v>
                </c:pt>
                <c:pt idx="6">
                  <c:v>2022760</c:v>
                </c:pt>
                <c:pt idx="7">
                  <c:v>2024932</c:v>
                </c:pt>
                <c:pt idx="8">
                  <c:v>1977080</c:v>
                </c:pt>
                <c:pt idx="9">
                  <c:v>1953906</c:v>
                </c:pt>
                <c:pt idx="10">
                  <c:v>1948987</c:v>
                </c:pt>
                <c:pt idx="11">
                  <c:v>1914250</c:v>
                </c:pt>
                <c:pt idx="12">
                  <c:v>2084557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8A-485E-BE22-3340166E5E4A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Non forest</c:v>
                </c:pt>
              </c:strCache>
            </c:strRef>
          </c:tx>
          <c:dLbls>
            <c:dLbl>
              <c:idx val="0"/>
              <c:layout>
                <c:manualLayout>
                  <c:x val="-4.0820295079306297E-2"/>
                  <c:y val="-3.7618851989299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8A-485E-BE22-3340166E5E4A}"/>
                </c:ext>
              </c:extLst>
            </c:dLbl>
            <c:dLbl>
              <c:idx val="7"/>
              <c:layout>
                <c:manualLayout>
                  <c:x val="-4.0899795501022497E-2"/>
                  <c:y val="3.478260869565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48A-485E-BE22-3340166E5E4A}"/>
                </c:ext>
              </c:extLst>
            </c:dLbl>
            <c:dLbl>
              <c:idx val="11"/>
              <c:layout>
                <c:manualLayout>
                  <c:x val="-4.7091415868469065E-2"/>
                  <c:y val="-2.9164521428574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8A-485E-BE22-3340166E5E4A}"/>
                </c:ext>
              </c:extLst>
            </c:dLbl>
            <c:dLbl>
              <c:idx val="12"/>
              <c:layout>
                <c:manualLayout>
                  <c:x val="-4.7034764826175891E-2"/>
                  <c:y val="3.1884057971014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48A-485E-BE22-3340166E5E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Sheet2!$D$4:$P$4</c:f>
              <c:numCache>
                <c:formatCode>General</c:formatCode>
                <c:ptCount val="13"/>
                <c:pt idx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Sheet2!$D$6:$P$6</c:f>
              <c:numCache>
                <c:formatCode>_-* #,##0_-;\-* #,##0_-;_-* "-"_-;_-@_-</c:formatCode>
                <c:ptCount val="13"/>
                <c:pt idx="0">
                  <c:v>2411319</c:v>
                </c:pt>
                <c:pt idx="1">
                  <c:v>2586115</c:v>
                </c:pt>
                <c:pt idx="2">
                  <c:v>2760912</c:v>
                </c:pt>
                <c:pt idx="3">
                  <c:v>2780824</c:v>
                </c:pt>
                <c:pt idx="4">
                  <c:v>2828047</c:v>
                </c:pt>
                <c:pt idx="5">
                  <c:v>2828664</c:v>
                </c:pt>
                <c:pt idx="6">
                  <c:v>2828955</c:v>
                </c:pt>
                <c:pt idx="7">
                  <c:v>2826783</c:v>
                </c:pt>
                <c:pt idx="8">
                  <c:v>2874635</c:v>
                </c:pt>
                <c:pt idx="9">
                  <c:v>2897809</c:v>
                </c:pt>
                <c:pt idx="10">
                  <c:v>2902728</c:v>
                </c:pt>
                <c:pt idx="11">
                  <c:v>2937465</c:v>
                </c:pt>
                <c:pt idx="12">
                  <c:v>2767158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8A-485E-BE22-3340166E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87104"/>
        <c:axId val="106288640"/>
      </c:lineChart>
      <c:catAx>
        <c:axId val="1062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88640"/>
        <c:crosses val="autoZero"/>
        <c:auto val="1"/>
        <c:lblAlgn val="ctr"/>
        <c:lblOffset val="100"/>
        <c:noMultiLvlLbl val="0"/>
      </c:catAx>
      <c:valAx>
        <c:axId val="106288640"/>
        <c:scaling>
          <c:orientation val="minMax"/>
          <c:max val="35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changed</a:t>
                </a:r>
                <a:r>
                  <a:rPr lang="en-US" baseline="0"/>
                  <a:t> area (ha)</a:t>
                </a:r>
                <a:endParaRPr lang="en-US"/>
              </a:p>
            </c:rich>
          </c:tx>
          <c:overlay val="0"/>
        </c:title>
        <c:numFmt formatCode="_-* #,##0_-;\-* #,##0_-;_-* &quot;-&quot;_-;_-@_-" sourceLinked="1"/>
        <c:majorTickMark val="out"/>
        <c:minorTickMark val="none"/>
        <c:tickLblPos val="nextTo"/>
        <c:crossAx val="10628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77631578947372"/>
          <c:y val="0.68428193782778945"/>
          <c:w val="0.14042944785276085"/>
          <c:h val="7.928974095629351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7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40416"/>
        <c:axId val="125611008"/>
      </c:lineChart>
      <c:catAx>
        <c:axId val="1065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611008"/>
        <c:crosses val="autoZero"/>
        <c:auto val="1"/>
        <c:lblAlgn val="ctr"/>
        <c:lblOffset val="100"/>
        <c:noMultiLvlLbl val="0"/>
      </c:catAx>
      <c:valAx>
        <c:axId val="1256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 (3)'!$B$72</c:f>
              <c:strCache>
                <c:ptCount val="1"/>
                <c:pt idx="0">
                  <c:v>Primary Dryland Forest</c:v>
                </c:pt>
              </c:strCache>
            </c:strRef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62-40A2-AA14-AB1E999A64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62-40A2-AA14-AB1E999A64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62-40A2-AA14-AB1E999A64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62-40A2-AA14-AB1E999A643C}"/>
                </c:ext>
              </c:extLst>
            </c:dLbl>
            <c:dLbl>
              <c:idx val="5"/>
              <c:layout>
                <c:manualLayout>
                  <c:x val="-7.2321573913009654E-2"/>
                  <c:y val="2.9314574467790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62-40A2-AA14-AB1E999A64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62-40A2-AA14-AB1E999A64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62-40A2-AA14-AB1E999A643C}"/>
                </c:ext>
              </c:extLst>
            </c:dLbl>
            <c:dLbl>
              <c:idx val="8"/>
              <c:layout>
                <c:manualLayout>
                  <c:x val="-6.7029751431569931E-2"/>
                  <c:y val="2.9314574467790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62-40A2-AA14-AB1E999A64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62-40A2-AA14-AB1E999A643C}"/>
                </c:ext>
              </c:extLst>
            </c:dLbl>
            <c:dLbl>
              <c:idx val="10"/>
              <c:layout>
                <c:manualLayout>
                  <c:x val="-6.3501869777276704E-2"/>
                  <c:y val="-4.397186170168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62-40A2-AA14-AB1E999A643C}"/>
                </c:ext>
              </c:extLst>
            </c:dLbl>
            <c:dLbl>
              <c:idx val="11"/>
              <c:layout>
                <c:manualLayout>
                  <c:x val="1.763940827146577E-3"/>
                  <c:y val="-1.1725829787116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62-40A2-AA14-AB1E999A6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(3)'!$C$72:$O$72</c:f>
              <c:numCache>
                <c:formatCode>_-* #,##0.00_-;\-* #,##0.00_-;_-* "-"_-;_-@_-</c:formatCode>
                <c:ptCount val="13"/>
                <c:pt idx="0">
                  <c:v>694737</c:v>
                </c:pt>
                <c:pt idx="1">
                  <c:v>664756.5</c:v>
                </c:pt>
                <c:pt idx="2">
                  <c:v>634776</c:v>
                </c:pt>
                <c:pt idx="3">
                  <c:v>619004</c:v>
                </c:pt>
                <c:pt idx="4">
                  <c:v>598828</c:v>
                </c:pt>
                <c:pt idx="5">
                  <c:v>553728</c:v>
                </c:pt>
                <c:pt idx="6">
                  <c:v>553098</c:v>
                </c:pt>
                <c:pt idx="7">
                  <c:v>543670</c:v>
                </c:pt>
                <c:pt idx="8">
                  <c:v>529715</c:v>
                </c:pt>
                <c:pt idx="9">
                  <c:v>522977</c:v>
                </c:pt>
                <c:pt idx="10">
                  <c:v>519144</c:v>
                </c:pt>
                <c:pt idx="11">
                  <c:v>401879</c:v>
                </c:pt>
                <c:pt idx="12">
                  <c:v>500359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62-40A2-AA14-AB1E999A643C}"/>
            </c:ext>
          </c:extLst>
        </c:ser>
        <c:ser>
          <c:idx val="2"/>
          <c:order val="1"/>
          <c:tx>
            <c:strRef>
              <c:f>'res (3)'!$B$73</c:f>
              <c:strCache>
                <c:ptCount val="1"/>
                <c:pt idx="0">
                  <c:v>Secondary Dryland Forest</c:v>
                </c:pt>
              </c:strCache>
            </c:strRef>
          </c:tx>
          <c:dLbls>
            <c:dLbl>
              <c:idx val="0"/>
              <c:layout>
                <c:manualLayout>
                  <c:x val="-3.3514875715784966E-2"/>
                  <c:y val="4.10404042549065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62-40A2-AA14-AB1E999A64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62-40A2-AA14-AB1E999A643C}"/>
                </c:ext>
              </c:extLst>
            </c:dLbl>
            <c:dLbl>
              <c:idx val="2"/>
              <c:layout>
                <c:manualLayout>
                  <c:x val="-3.527881654293154E-3"/>
                  <c:y val="2.3451659574232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62-40A2-AA14-AB1E999A64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62-40A2-AA14-AB1E999A643C}"/>
                </c:ext>
              </c:extLst>
            </c:dLbl>
            <c:dLbl>
              <c:idx val="5"/>
              <c:layout>
                <c:manualLayout>
                  <c:x val="1.763940827146577E-3"/>
                  <c:y val="-2.6383117021011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62-40A2-AA14-AB1E999A64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62-40A2-AA14-AB1E999A643C}"/>
                </c:ext>
              </c:extLst>
            </c:dLbl>
            <c:dLbl>
              <c:idx val="7"/>
              <c:layout>
                <c:manualLayout>
                  <c:x val="1.4111526617172682E-2"/>
                  <c:y val="-1.4657287233895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62-40A2-AA14-AB1E999A64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62-40A2-AA14-AB1E999A64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362-40A2-AA14-AB1E999A6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(3)'!$C$73:$O$73</c:f>
              <c:numCache>
                <c:formatCode>_-* #,##0.00_-;\-* #,##0.00_-;_-* "-"_-;_-@_-</c:formatCode>
                <c:ptCount val="13"/>
                <c:pt idx="0">
                  <c:v>638049</c:v>
                </c:pt>
                <c:pt idx="1">
                  <c:v>620772.5</c:v>
                </c:pt>
                <c:pt idx="2">
                  <c:v>603496</c:v>
                </c:pt>
                <c:pt idx="3">
                  <c:v>618381</c:v>
                </c:pt>
                <c:pt idx="4">
                  <c:v>627494</c:v>
                </c:pt>
                <c:pt idx="5">
                  <c:v>672086</c:v>
                </c:pt>
                <c:pt idx="6">
                  <c:v>672425</c:v>
                </c:pt>
                <c:pt idx="7">
                  <c:v>678803</c:v>
                </c:pt>
                <c:pt idx="8">
                  <c:v>664888</c:v>
                </c:pt>
                <c:pt idx="9">
                  <c:v>654663</c:v>
                </c:pt>
                <c:pt idx="10">
                  <c:v>652518</c:v>
                </c:pt>
                <c:pt idx="11">
                  <c:v>732934</c:v>
                </c:pt>
                <c:pt idx="12">
                  <c:v>631295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62-40A2-AA14-AB1E999A643C}"/>
            </c:ext>
          </c:extLst>
        </c:ser>
        <c:ser>
          <c:idx val="3"/>
          <c:order val="2"/>
          <c:tx>
            <c:strRef>
              <c:f>'res (3)'!$B$74</c:f>
              <c:strCache>
                <c:ptCount val="1"/>
                <c:pt idx="0">
                  <c:v>Primary Mangrove Forest</c:v>
                </c:pt>
              </c:strCache>
            </c:strRef>
          </c:tx>
          <c:dLbls>
            <c:dLbl>
              <c:idx val="0"/>
              <c:layout>
                <c:manualLayout>
                  <c:x val="-2.294679997770644E-2"/>
                  <c:y val="-2.9557849482586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362-40A2-AA14-AB1E999A643C}"/>
                </c:ext>
              </c:extLst>
            </c:dLbl>
            <c:dLbl>
              <c:idx val="12"/>
              <c:layout>
                <c:manualLayout>
                  <c:x val="-7.0605538392942896E-2"/>
                  <c:y val="3.5469419379103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362-40A2-AA14-AB1E999A64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(3)'!$C$74:$O$74</c:f>
              <c:numCache>
                <c:formatCode>_-* #,##0.00_-;\-* #,##0.00_-;_-* "-"_-;_-@_-</c:formatCode>
                <c:ptCount val="13"/>
                <c:pt idx="0">
                  <c:v>208727</c:v>
                </c:pt>
                <c:pt idx="1">
                  <c:v>207345</c:v>
                </c:pt>
                <c:pt idx="2">
                  <c:v>205963</c:v>
                </c:pt>
                <c:pt idx="3">
                  <c:v>201768</c:v>
                </c:pt>
                <c:pt idx="4">
                  <c:v>196510</c:v>
                </c:pt>
                <c:pt idx="5">
                  <c:v>196510</c:v>
                </c:pt>
                <c:pt idx="6">
                  <c:v>196510</c:v>
                </c:pt>
                <c:pt idx="7">
                  <c:v>197808</c:v>
                </c:pt>
                <c:pt idx="8">
                  <c:v>196758</c:v>
                </c:pt>
                <c:pt idx="9">
                  <c:v>195162</c:v>
                </c:pt>
                <c:pt idx="10">
                  <c:v>195007</c:v>
                </c:pt>
                <c:pt idx="11">
                  <c:v>195660</c:v>
                </c:pt>
                <c:pt idx="12">
                  <c:v>195384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62-40A2-AA14-AB1E999A643C}"/>
            </c:ext>
          </c:extLst>
        </c:ser>
        <c:ser>
          <c:idx val="4"/>
          <c:order val="3"/>
          <c:tx>
            <c:strRef>
              <c:f>'res (3)'!$B$75</c:f>
              <c:strCache>
                <c:ptCount val="1"/>
                <c:pt idx="0">
                  <c:v>Secondary Mangrove Forest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5177489361348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362-40A2-AA14-AB1E999A64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C362-40A2-AA14-AB1E999A64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362-40A2-AA14-AB1E999A64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362-40A2-AA14-AB1E999A643C}"/>
                </c:ext>
              </c:extLst>
            </c:dLbl>
            <c:dLbl>
              <c:idx val="4"/>
              <c:layout>
                <c:manualLayout>
                  <c:x val="1.763940827146577E-3"/>
                  <c:y val="-3.2246031914569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362-40A2-AA14-AB1E999A643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362-40A2-AA14-AB1E999A64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362-40A2-AA14-AB1E999A64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62-40A2-AA14-AB1E999A64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362-40A2-AA14-AB1E999A64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362-40A2-AA14-AB1E999A64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362-40A2-AA14-AB1E999A643C}"/>
                </c:ext>
              </c:extLst>
            </c:dLbl>
            <c:dLbl>
              <c:idx val="11"/>
              <c:layout>
                <c:manualLayout>
                  <c:x val="-3.8806698197224695E-2"/>
                  <c:y val="-3.5177489361348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362-40A2-AA14-AB1E999A6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(3)'!$C$75:$O$75</c:f>
              <c:numCache>
                <c:formatCode>_-* #,##0.00_-;\-* #,##0.00_-;_-* "-"_-;_-@_-</c:formatCode>
                <c:ptCount val="13"/>
                <c:pt idx="0">
                  <c:v>25345.3</c:v>
                </c:pt>
                <c:pt idx="1">
                  <c:v>24208.9</c:v>
                </c:pt>
                <c:pt idx="2">
                  <c:v>23072.5</c:v>
                </c:pt>
                <c:pt idx="3">
                  <c:v>25776.2</c:v>
                </c:pt>
                <c:pt idx="4">
                  <c:v>23677.9</c:v>
                </c:pt>
                <c:pt idx="5">
                  <c:v>23574</c:v>
                </c:pt>
                <c:pt idx="6">
                  <c:v>23574</c:v>
                </c:pt>
                <c:pt idx="7">
                  <c:v>23675.4</c:v>
                </c:pt>
                <c:pt idx="8">
                  <c:v>23520.7</c:v>
                </c:pt>
                <c:pt idx="9">
                  <c:v>23876.400000000001</c:v>
                </c:pt>
                <c:pt idx="10">
                  <c:v>23829.200000000001</c:v>
                </c:pt>
                <c:pt idx="11">
                  <c:v>23931.9</c:v>
                </c:pt>
                <c:pt idx="12">
                  <c:v>24059.599999999999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62-40A2-AA14-AB1E999A643C}"/>
            </c:ext>
          </c:extLst>
        </c:ser>
        <c:ser>
          <c:idx val="5"/>
          <c:order val="4"/>
          <c:tx>
            <c:strRef>
              <c:f>'res (3)'!$B$76</c:f>
              <c:strCache>
                <c:ptCount val="1"/>
                <c:pt idx="0">
                  <c:v>Primary Swamp Forest</c:v>
                </c:pt>
              </c:strCache>
            </c:strRef>
          </c:tx>
          <c:dLbls>
            <c:dLbl>
              <c:idx val="0"/>
              <c:layout>
                <c:manualLayout>
                  <c:x val="-3.1750934888638387E-2"/>
                  <c:y val="-2.9314574467790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362-40A2-AA14-AB1E999A64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362-40A2-AA14-AB1E999A64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362-40A2-AA14-AB1E999A64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362-40A2-AA14-AB1E999A643C}"/>
                </c:ext>
              </c:extLst>
            </c:dLbl>
            <c:dLbl>
              <c:idx val="5"/>
              <c:layout>
                <c:manualLayout>
                  <c:x val="-5.1154283987250734E-2"/>
                  <c:y val="4.6903319148464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362-40A2-AA14-AB1E999A64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362-40A2-AA14-AB1E999A64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362-40A2-AA14-AB1E999A64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362-40A2-AA14-AB1E999A643C}"/>
                </c:ext>
              </c:extLst>
            </c:dLbl>
            <c:dLbl>
              <c:idx val="9"/>
              <c:layout>
                <c:manualLayout>
                  <c:x val="-3.3514875715785028E-2"/>
                  <c:y val="-4.6903319148464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362-40A2-AA14-AB1E999A64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362-40A2-AA14-AB1E999A643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362-40A2-AA14-AB1E999A643C}"/>
                </c:ext>
              </c:extLst>
            </c:dLbl>
            <c:dLbl>
              <c:idx val="12"/>
              <c:layout>
                <c:manualLayout>
                  <c:x val="-5.9973988122983622E-2"/>
                  <c:y val="-3.5177489361348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362-40A2-AA14-AB1E999A6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(3)'!$C$76:$O$76</c:f>
              <c:numCache>
                <c:formatCode>_-* #,##0.00_-;\-* #,##0.00_-;_-* "-"_-;_-@_-</c:formatCode>
                <c:ptCount val="13"/>
                <c:pt idx="0">
                  <c:v>342429</c:v>
                </c:pt>
                <c:pt idx="1">
                  <c:v>329304</c:v>
                </c:pt>
                <c:pt idx="2">
                  <c:v>316179</c:v>
                </c:pt>
                <c:pt idx="3">
                  <c:v>292789</c:v>
                </c:pt>
                <c:pt idx="4">
                  <c:v>238249</c:v>
                </c:pt>
                <c:pt idx="5">
                  <c:v>205343</c:v>
                </c:pt>
                <c:pt idx="6">
                  <c:v>205343</c:v>
                </c:pt>
                <c:pt idx="7">
                  <c:v>206530</c:v>
                </c:pt>
                <c:pt idx="8">
                  <c:v>202799</c:v>
                </c:pt>
                <c:pt idx="9">
                  <c:v>200958</c:v>
                </c:pt>
                <c:pt idx="10">
                  <c:v>200400</c:v>
                </c:pt>
                <c:pt idx="11">
                  <c:v>202694</c:v>
                </c:pt>
                <c:pt idx="12">
                  <c:v>202193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62-40A2-AA14-AB1E999A643C}"/>
            </c:ext>
          </c:extLst>
        </c:ser>
        <c:ser>
          <c:idx val="6"/>
          <c:order val="5"/>
          <c:tx>
            <c:strRef>
              <c:f>'res (3)'!$B$77</c:f>
              <c:strCache>
                <c:ptCount val="1"/>
                <c:pt idx="0">
                  <c:v>Secondary Swamp Forest</c:v>
                </c:pt>
              </c:strCache>
            </c:strRef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362-40A2-AA14-AB1E999A643C}"/>
                </c:ext>
              </c:extLst>
            </c:dLbl>
            <c:dLbl>
              <c:idx val="2"/>
              <c:layout>
                <c:manualLayout>
                  <c:x val="-2.6459112407198657E-2"/>
                  <c:y val="-7.0354978722697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362-40A2-AA14-AB1E999A64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362-40A2-AA14-AB1E999A64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362-40A2-AA14-AB1E999A643C}"/>
                </c:ext>
              </c:extLst>
            </c:dLbl>
            <c:dLbl>
              <c:idx val="5"/>
              <c:layout>
                <c:manualLayout>
                  <c:x val="-5.2918224814397313E-2"/>
                  <c:y val="-4.9834776595243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362-40A2-AA14-AB1E999A64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362-40A2-AA14-AB1E999A64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362-40A2-AA14-AB1E999A64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362-40A2-AA14-AB1E999A64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362-40A2-AA14-AB1E999A643C}"/>
                </c:ext>
              </c:extLst>
            </c:dLbl>
            <c:dLbl>
              <c:idx val="11"/>
              <c:layout>
                <c:manualLayout>
                  <c:x val="-3.5278816542931545E-2"/>
                  <c:y val="3.2246031914569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362-40A2-AA14-AB1E999A6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(3)'!$C$77:$O$77</c:f>
              <c:numCache>
                <c:formatCode>_-* #,##0.00_-;\-* #,##0.00_-;_-* "-"_-;_-@_-</c:formatCode>
                <c:ptCount val="13"/>
                <c:pt idx="0">
                  <c:v>531109</c:v>
                </c:pt>
                <c:pt idx="1">
                  <c:v>419213</c:v>
                </c:pt>
                <c:pt idx="2">
                  <c:v>307317</c:v>
                </c:pt>
                <c:pt idx="3">
                  <c:v>313173</c:v>
                </c:pt>
                <c:pt idx="4">
                  <c:v>338909</c:v>
                </c:pt>
                <c:pt idx="5">
                  <c:v>371810</c:v>
                </c:pt>
                <c:pt idx="6">
                  <c:v>371810</c:v>
                </c:pt>
                <c:pt idx="7">
                  <c:v>374446</c:v>
                </c:pt>
                <c:pt idx="8">
                  <c:v>359399</c:v>
                </c:pt>
                <c:pt idx="9">
                  <c:v>356270</c:v>
                </c:pt>
                <c:pt idx="10">
                  <c:v>358089</c:v>
                </c:pt>
                <c:pt idx="11">
                  <c:v>357151</c:v>
                </c:pt>
                <c:pt idx="12">
                  <c:v>531266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62-40A2-AA14-AB1E999A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53312"/>
        <c:axId val="107854848"/>
      </c:lineChart>
      <c:catAx>
        <c:axId val="1078533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7854848"/>
        <c:crosses val="autoZero"/>
        <c:auto val="1"/>
        <c:lblAlgn val="ctr"/>
        <c:lblOffset val="100"/>
        <c:noMultiLvlLbl val="0"/>
      </c:catAx>
      <c:valAx>
        <c:axId val="107854848"/>
        <c:scaling>
          <c:orientation val="minMax"/>
        </c:scaling>
        <c:delete val="0"/>
        <c:axPos val="l"/>
        <c:majorGridlines/>
        <c:numFmt formatCode="_-* #,##0.00_-;\-* #,##0.00_-;_-* &quot;-&quot;_-;_-@_-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785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06907403755132"/>
          <c:y val="0.49905589435884951"/>
          <c:w val="0.21265116606985288"/>
          <c:h val="0.2468541486463014"/>
        </c:manualLayout>
      </c:layout>
      <c:overlay val="0"/>
      <c:txPr>
        <a:bodyPr/>
        <a:lstStyle/>
        <a:p>
          <a:pPr>
            <a:defRPr sz="8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99328124975624E-2"/>
          <c:y val="4.0244671681869029E-2"/>
          <c:w val="0.62378548516947629"/>
          <c:h val="0.90860824832981668"/>
        </c:manualLayout>
      </c:layout>
      <c:lineChart>
        <c:grouping val="standard"/>
        <c:varyColors val="0"/>
        <c:ser>
          <c:idx val="0"/>
          <c:order val="0"/>
          <c:tx>
            <c:strRef>
              <c:f>'res (3)'!$B$82</c:f>
              <c:strCache>
                <c:ptCount val="1"/>
                <c:pt idx="0">
                  <c:v>Bush/Shrub</c:v>
                </c:pt>
              </c:strCache>
            </c:strRef>
          </c:tx>
          <c:dLbls>
            <c:dLbl>
              <c:idx val="0"/>
              <c:layout>
                <c:manualLayout>
                  <c:x val="-2.1085273377063871E-2"/>
                  <c:y val="-5.5427259795567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D4-43F9-9A4B-37FF07E0D0E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4-43F9-9A4B-37FF07E0D0EF}"/>
                </c:ext>
              </c:extLst>
            </c:dLbl>
            <c:dLbl>
              <c:idx val="2"/>
              <c:layout>
                <c:manualLayout>
                  <c:x val="-3.7155188151532315E-3"/>
                  <c:y val="1.2966604502810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D4-43F9-9A4B-37FF07E0D0E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D4-43F9-9A4B-37FF07E0D0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D4-43F9-9A4B-37FF07E0D0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D4-43F9-9A4B-37FF07E0D0EF}"/>
                </c:ext>
              </c:extLst>
            </c:dLbl>
            <c:dLbl>
              <c:idx val="6"/>
              <c:layout>
                <c:manualLayout>
                  <c:x val="-4.0930236555476923E-2"/>
                  <c:y val="-2.2170903918227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D4-43F9-9A4B-37FF07E0D0E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D4-43F9-9A4B-37FF07E0D0EF}"/>
                </c:ext>
              </c:extLst>
            </c:dLbl>
            <c:dLbl>
              <c:idx val="8"/>
              <c:layout>
                <c:manualLayout>
                  <c:x val="-2.7286824370317951E-2"/>
                  <c:y val="3.1408780550821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D4-43F9-9A4B-37FF07E0D0E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D4-43F9-9A4B-37FF07E0D0EF}"/>
                </c:ext>
              </c:extLst>
            </c:dLbl>
            <c:dLbl>
              <c:idx val="10"/>
              <c:layout>
                <c:manualLayout>
                  <c:x val="-3.3488375363572027E-2"/>
                  <c:y val="-2.0323328591708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D4-43F9-9A4B-37FF07E0D0EF}"/>
                </c:ext>
              </c:extLst>
            </c:dLbl>
            <c:dLbl>
              <c:idx val="11"/>
              <c:layout>
                <c:manualLayout>
                  <c:x val="-6.2015509932540798E-3"/>
                  <c:y val="-1.8475753265189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D4-43F9-9A4B-37FF07E0D0EF}"/>
                </c:ext>
              </c:extLst>
            </c:dLbl>
            <c:dLbl>
              <c:idx val="12"/>
              <c:layout>
                <c:manualLayout>
                  <c:x val="-6.201550993254079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D4-43F9-9A4B-37FF07E0D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(3)'!$C$82:$O$82</c:f>
              <c:numCache>
                <c:formatCode>_-* #,##0.00_-;\-* #,##0.00_-;_-* "-"_-;_-@_-</c:formatCode>
                <c:ptCount val="13"/>
                <c:pt idx="0">
                  <c:v>71945.899999999994</c:v>
                </c:pt>
                <c:pt idx="1">
                  <c:v>124194.45</c:v>
                </c:pt>
                <c:pt idx="2">
                  <c:v>176443</c:v>
                </c:pt>
                <c:pt idx="3">
                  <c:v>177229</c:v>
                </c:pt>
                <c:pt idx="4">
                  <c:v>178032</c:v>
                </c:pt>
                <c:pt idx="5">
                  <c:v>178463</c:v>
                </c:pt>
                <c:pt idx="6">
                  <c:v>177262</c:v>
                </c:pt>
                <c:pt idx="7">
                  <c:v>174273</c:v>
                </c:pt>
                <c:pt idx="8">
                  <c:v>169262</c:v>
                </c:pt>
                <c:pt idx="9">
                  <c:v>166111</c:v>
                </c:pt>
                <c:pt idx="10">
                  <c:v>170801</c:v>
                </c:pt>
                <c:pt idx="11">
                  <c:v>169656</c:v>
                </c:pt>
                <c:pt idx="12">
                  <c:v>129465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D4-43F9-9A4B-37FF07E0D0EF}"/>
            </c:ext>
          </c:extLst>
        </c:ser>
        <c:ser>
          <c:idx val="1"/>
          <c:order val="1"/>
          <c:tx>
            <c:strRef>
              <c:f>'res (3)'!$B$83</c:f>
              <c:strCache>
                <c:ptCount val="1"/>
                <c:pt idx="0">
                  <c:v>Estate Cropplantation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(3)'!$C$83:$O$83</c:f>
              <c:numCache>
                <c:formatCode>_-* #,##0.00_-;\-* #,##0.00_-;_-* "-"_-;_-@_-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101.02200000000001</c:v>
                </c:pt>
                <c:pt idx="4">
                  <c:v>101.02200000000001</c:v>
                </c:pt>
                <c:pt idx="5">
                  <c:v>101.02200000000001</c:v>
                </c:pt>
                <c:pt idx="6">
                  <c:v>1533.15</c:v>
                </c:pt>
                <c:pt idx="7">
                  <c:v>16535</c:v>
                </c:pt>
                <c:pt idx="8">
                  <c:v>19885</c:v>
                </c:pt>
                <c:pt idx="9">
                  <c:v>27397.200000000001</c:v>
                </c:pt>
                <c:pt idx="10">
                  <c:v>53856.800000000003</c:v>
                </c:pt>
                <c:pt idx="11">
                  <c:v>80231.399999999994</c:v>
                </c:pt>
                <c:pt idx="12">
                  <c:v>94358.6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D4-43F9-9A4B-37FF07E0D0EF}"/>
            </c:ext>
          </c:extLst>
        </c:ser>
        <c:ser>
          <c:idx val="2"/>
          <c:order val="2"/>
          <c:tx>
            <c:strRef>
              <c:f>'res (3)'!$B$84</c:f>
              <c:strCache>
                <c:ptCount val="1"/>
                <c:pt idx="0">
                  <c:v>Settlement Area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(3)'!$C$84:$O$84</c:f>
              <c:numCache>
                <c:formatCode>_-* #,##0.00_-;\-* #,##0.00_-;_-* "-"_-;_-@_-</c:formatCode>
                <c:ptCount val="13"/>
                <c:pt idx="0">
                  <c:v>3159.73</c:v>
                </c:pt>
                <c:pt idx="1">
                  <c:v>3365.5749999999998</c:v>
                </c:pt>
                <c:pt idx="2">
                  <c:v>3571.42</c:v>
                </c:pt>
                <c:pt idx="3">
                  <c:v>3667.19</c:v>
                </c:pt>
                <c:pt idx="4">
                  <c:v>3890.97</c:v>
                </c:pt>
                <c:pt idx="5">
                  <c:v>3890.97</c:v>
                </c:pt>
                <c:pt idx="6">
                  <c:v>3890.97</c:v>
                </c:pt>
                <c:pt idx="7">
                  <c:v>3916.67</c:v>
                </c:pt>
                <c:pt idx="8">
                  <c:v>3653.09</c:v>
                </c:pt>
                <c:pt idx="9">
                  <c:v>3878.1</c:v>
                </c:pt>
                <c:pt idx="10">
                  <c:v>3480.02</c:v>
                </c:pt>
                <c:pt idx="11">
                  <c:v>7216.4</c:v>
                </c:pt>
                <c:pt idx="12">
                  <c:v>7089.96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D4-43F9-9A4B-37FF07E0D0EF}"/>
            </c:ext>
          </c:extLst>
        </c:ser>
        <c:ser>
          <c:idx val="3"/>
          <c:order val="3"/>
          <c:tx>
            <c:strRef>
              <c:f>'res (3)'!$B$85</c:f>
              <c:strCache>
                <c:ptCount val="1"/>
                <c:pt idx="0">
                  <c:v>Barren Land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(3)'!$C$85:$O$85</c:f>
              <c:numCache>
                <c:formatCode>_-* #,##0.00_-;\-* #,##0.00_-;_-* "-"_-;_-@_-</c:formatCode>
                <c:ptCount val="13"/>
                <c:pt idx="0">
                  <c:v>81713.600000000006</c:v>
                </c:pt>
                <c:pt idx="1">
                  <c:v>51759.350000000006</c:v>
                </c:pt>
                <c:pt idx="2">
                  <c:v>21805.1</c:v>
                </c:pt>
                <c:pt idx="3">
                  <c:v>21805.1</c:v>
                </c:pt>
                <c:pt idx="4">
                  <c:v>21853.200000000001</c:v>
                </c:pt>
                <c:pt idx="5">
                  <c:v>21853.200000000001</c:v>
                </c:pt>
                <c:pt idx="6">
                  <c:v>21912.9</c:v>
                </c:pt>
                <c:pt idx="7">
                  <c:v>23500.799999999999</c:v>
                </c:pt>
                <c:pt idx="8">
                  <c:v>263859</c:v>
                </c:pt>
                <c:pt idx="9">
                  <c:v>75080.7</c:v>
                </c:pt>
                <c:pt idx="10">
                  <c:v>56539</c:v>
                </c:pt>
                <c:pt idx="11">
                  <c:v>77994.3</c:v>
                </c:pt>
                <c:pt idx="12">
                  <c:v>88946.1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D4-43F9-9A4B-37FF07E0D0EF}"/>
            </c:ext>
          </c:extLst>
        </c:ser>
        <c:ser>
          <c:idx val="4"/>
          <c:order val="4"/>
          <c:tx>
            <c:strRef>
              <c:f>'res (3)'!$B$86</c:f>
              <c:strCache>
                <c:ptCount val="1"/>
                <c:pt idx="0">
                  <c:v>Cloud Covered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(3)'!$C$86:$O$86</c:f>
              <c:numCache>
                <c:formatCode>_-* #,##0.00_-;\-* #,##0.00_-;_-* "-"_-;_-@_-</c:formatCode>
                <c:ptCount val="13"/>
                <c:pt idx="0">
                  <c:v>763.64700000000005</c:v>
                </c:pt>
                <c:pt idx="1">
                  <c:v>763.64700000000005</c:v>
                </c:pt>
                <c:pt idx="2">
                  <c:v>763.64700000000005</c:v>
                </c:pt>
                <c:pt idx="3">
                  <c:v>763.64700000000005</c:v>
                </c:pt>
                <c:pt idx="4">
                  <c:v>763.64700000000005</c:v>
                </c:pt>
                <c:pt idx="5">
                  <c:v>763.64700000000005</c:v>
                </c:pt>
                <c:pt idx="6">
                  <c:v>763.64700000000005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D4-43F9-9A4B-37FF07E0D0EF}"/>
            </c:ext>
          </c:extLst>
        </c:ser>
        <c:ser>
          <c:idx val="5"/>
          <c:order val="5"/>
          <c:tx>
            <c:strRef>
              <c:f>'res (3)'!$B$87</c:f>
              <c:strCache>
                <c:ptCount val="1"/>
                <c:pt idx="0">
                  <c:v>Grass Land</c:v>
                </c:pt>
              </c:strCache>
            </c:strRef>
          </c:tx>
          <c:dLbls>
            <c:dLbl>
              <c:idx val="0"/>
              <c:layout>
                <c:manualLayout>
                  <c:x val="-2.9767444767619583E-2"/>
                  <c:y val="-3.6951506530378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D4-43F9-9A4B-37FF07E0D0EF}"/>
                </c:ext>
              </c:extLst>
            </c:dLbl>
            <c:dLbl>
              <c:idx val="2"/>
              <c:layout>
                <c:manualLayout>
                  <c:x val="-5.5813958939286715E-2"/>
                  <c:y val="-2.5866054571265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D4-43F9-9A4B-37FF07E0D0EF}"/>
                </c:ext>
              </c:extLst>
            </c:dLbl>
            <c:dLbl>
              <c:idx val="3"/>
              <c:layout>
                <c:manualLayout>
                  <c:x val="-2.1085273377063871E-2"/>
                  <c:y val="2.0323328591708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D4-43F9-9A4B-37FF07E0D0EF}"/>
                </c:ext>
              </c:extLst>
            </c:dLbl>
            <c:dLbl>
              <c:idx val="5"/>
              <c:layout>
                <c:manualLayout>
                  <c:x val="-2.4806203973016319E-2"/>
                  <c:y val="-2.0323328591708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D4-43F9-9A4B-37FF07E0D0EF}"/>
                </c:ext>
              </c:extLst>
            </c:dLbl>
            <c:dLbl>
              <c:idx val="6"/>
              <c:layout>
                <c:manualLayout>
                  <c:x val="-2.2325583575714687E-2"/>
                  <c:y val="2.2170903918227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D4-43F9-9A4B-37FF07E0D0EF}"/>
                </c:ext>
              </c:extLst>
            </c:dLbl>
            <c:dLbl>
              <c:idx val="10"/>
              <c:layout>
                <c:manualLayout>
                  <c:x val="-9.9224815892065277E-3"/>
                  <c:y val="-2.2170903918227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D4-43F9-9A4B-37FF07E0D0E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9D4-43F9-9A4B-37FF07E0D0EF}"/>
                </c:ext>
              </c:extLst>
            </c:dLbl>
            <c:dLbl>
              <c:idx val="12"/>
              <c:layout>
                <c:manualLayout>
                  <c:x val="-2.6046514171667135E-2"/>
                  <c:y val="2.2170903918227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9D4-43F9-9A4B-37FF07E0D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(3)'!$C$87:$O$87</c:f>
              <c:numCache>
                <c:formatCode>_-* #,##0.00_-;\-* #,##0.00_-;_-* "-"_-;_-@_-</c:formatCode>
                <c:ptCount val="13"/>
                <c:pt idx="0">
                  <c:v>471693</c:v>
                </c:pt>
                <c:pt idx="1">
                  <c:v>549086.5</c:v>
                </c:pt>
                <c:pt idx="2">
                  <c:v>626480</c:v>
                </c:pt>
                <c:pt idx="3">
                  <c:v>646258</c:v>
                </c:pt>
                <c:pt idx="4">
                  <c:v>655175</c:v>
                </c:pt>
                <c:pt idx="5">
                  <c:v>704034</c:v>
                </c:pt>
                <c:pt idx="6">
                  <c:v>704044</c:v>
                </c:pt>
                <c:pt idx="7">
                  <c:v>708703</c:v>
                </c:pt>
                <c:pt idx="8">
                  <c:v>568723</c:v>
                </c:pt>
                <c:pt idx="9">
                  <c:v>700156</c:v>
                </c:pt>
                <c:pt idx="10">
                  <c:v>603422</c:v>
                </c:pt>
                <c:pt idx="11">
                  <c:v>576528</c:v>
                </c:pt>
                <c:pt idx="12">
                  <c:v>555274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D4-43F9-9A4B-37FF07E0D0EF}"/>
            </c:ext>
          </c:extLst>
        </c:ser>
        <c:ser>
          <c:idx val="6"/>
          <c:order val="6"/>
          <c:tx>
            <c:strRef>
              <c:f>'res (3)'!$B$88</c:f>
              <c:strCache>
                <c:ptCount val="1"/>
                <c:pt idx="0">
                  <c:v>Water Body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1.2966604502810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9D4-43F9-9A4B-37FF07E0D0E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9D4-43F9-9A4B-37FF07E0D0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9D4-43F9-9A4B-37FF07E0D0EF}"/>
                </c:ext>
              </c:extLst>
            </c:dLbl>
            <c:dLbl>
              <c:idx val="3"/>
              <c:layout>
                <c:manualLayout>
                  <c:x val="0"/>
                  <c:y val="1.2966604502810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9D4-43F9-9A4B-37FF07E0D0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D4-43F9-9A4B-37FF07E0D0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D4-43F9-9A4B-37FF07E0D0EF}"/>
                </c:ext>
              </c:extLst>
            </c:dLbl>
            <c:dLbl>
              <c:idx val="7"/>
              <c:layout>
                <c:manualLayout>
                  <c:x val="-3.2248065164921215E-2"/>
                  <c:y val="1.478060261215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D4-43F9-9A4B-37FF07E0D0EF}"/>
                </c:ext>
              </c:extLst>
            </c:dLbl>
            <c:dLbl>
              <c:idx val="9"/>
              <c:layout>
                <c:manualLayout>
                  <c:x val="0"/>
                  <c:y val="-1.1114232430980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9D4-43F9-9A4B-37FF07E0D0E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9D4-43F9-9A4B-37FF07E0D0E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9D4-43F9-9A4B-37FF07E0D0EF}"/>
                </c:ext>
              </c:extLst>
            </c:dLbl>
            <c:dLbl>
              <c:idx val="12"/>
              <c:layout>
                <c:manualLayout>
                  <c:x val="-4.4651167151429375E-2"/>
                  <c:y val="1.8475753265189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9D4-43F9-9A4B-37FF07E0D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(3)'!$C$88:$O$88</c:f>
              <c:numCache>
                <c:formatCode>_-* #,##0.00_-;\-* #,##0.00_-;_-* "-"_-;_-@_-</c:formatCode>
                <c:ptCount val="13"/>
                <c:pt idx="0">
                  <c:v>352031.11899999995</c:v>
                </c:pt>
                <c:pt idx="1">
                  <c:v>352012.17400000058</c:v>
                </c:pt>
                <c:pt idx="2">
                  <c:v>351993.22899999935</c:v>
                </c:pt>
                <c:pt idx="3">
                  <c:v>351992.03699999955</c:v>
                </c:pt>
                <c:pt idx="4">
                  <c:v>351994.55700000003</c:v>
                </c:pt>
                <c:pt idx="5">
                  <c:v>351993.95699999947</c:v>
                </c:pt>
                <c:pt idx="6">
                  <c:v>351993.82899999991</c:v>
                </c:pt>
                <c:pt idx="7">
                  <c:v>322264.42600000091</c:v>
                </c:pt>
                <c:pt idx="8">
                  <c:v>322282.10600000061</c:v>
                </c:pt>
                <c:pt idx="9">
                  <c:v>351749.49600000028</c:v>
                </c:pt>
                <c:pt idx="10">
                  <c:v>351734.07599999942</c:v>
                </c:pt>
                <c:pt idx="11">
                  <c:v>349815.73299999943</c:v>
                </c:pt>
                <c:pt idx="12">
                  <c:v>349883.96779999975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9D4-43F9-9A4B-37FF07E0D0EF}"/>
            </c:ext>
          </c:extLst>
        </c:ser>
        <c:ser>
          <c:idx val="7"/>
          <c:order val="7"/>
          <c:tx>
            <c:strRef>
              <c:f>'res (3)'!$B$89</c:f>
              <c:strCache>
                <c:ptCount val="1"/>
                <c:pt idx="0">
                  <c:v>Swamp Shrub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1.2966604502810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9D4-43F9-9A4B-37FF07E0D0E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9D4-43F9-9A4B-37FF07E0D0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9D4-43F9-9A4B-37FF07E0D0EF}"/>
                </c:ext>
              </c:extLst>
            </c:dLbl>
            <c:dLbl>
              <c:idx val="3"/>
              <c:layout>
                <c:manualLayout>
                  <c:x val="-1.2385062717177439E-3"/>
                  <c:y val="9.26186035915014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9D4-43F9-9A4B-37FF07E0D0EF}"/>
                </c:ext>
              </c:extLst>
            </c:dLbl>
            <c:dLbl>
              <c:idx val="5"/>
              <c:layout>
                <c:manualLayout>
                  <c:x val="-3.7142123213388369E-2"/>
                  <c:y val="1.4994147707408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9D4-43F9-9A4B-37FF07E0D0E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9D4-43F9-9A4B-37FF07E0D0E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9D4-43F9-9A4B-37FF07E0D0EF}"/>
                </c:ext>
              </c:extLst>
            </c:dLbl>
            <c:dLbl>
              <c:idx val="10"/>
              <c:layout>
                <c:manualLayout>
                  <c:x val="-2.2285273928032992E-2"/>
                  <c:y val="3.3736832341668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9D4-43F9-9A4B-37FF07E0D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(3)'!$C$89:$O$89</c:f>
              <c:numCache>
                <c:formatCode>_-* #,##0.00_-;\-* #,##0.00_-;_-* "-"_-;_-@_-</c:formatCode>
                <c:ptCount val="13"/>
                <c:pt idx="0">
                  <c:v>930069</c:v>
                </c:pt>
                <c:pt idx="1">
                  <c:v>931437.5</c:v>
                </c:pt>
                <c:pt idx="2">
                  <c:v>932806</c:v>
                </c:pt>
                <c:pt idx="3">
                  <c:v>929360</c:v>
                </c:pt>
                <c:pt idx="4">
                  <c:v>949786</c:v>
                </c:pt>
                <c:pt idx="5">
                  <c:v>900908</c:v>
                </c:pt>
                <c:pt idx="6">
                  <c:v>900838</c:v>
                </c:pt>
                <c:pt idx="7">
                  <c:v>906111</c:v>
                </c:pt>
                <c:pt idx="8">
                  <c:v>860813</c:v>
                </c:pt>
                <c:pt idx="9">
                  <c:v>917482</c:v>
                </c:pt>
                <c:pt idx="10">
                  <c:v>969770</c:v>
                </c:pt>
                <c:pt idx="11">
                  <c:v>978818</c:v>
                </c:pt>
                <c:pt idx="12">
                  <c:v>942998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9D4-43F9-9A4B-37FF07E0D0EF}"/>
            </c:ext>
          </c:extLst>
        </c:ser>
        <c:ser>
          <c:idx val="8"/>
          <c:order val="8"/>
          <c:tx>
            <c:strRef>
              <c:f>'res (3)'!$B$90</c:f>
              <c:strCache>
                <c:ptCount val="1"/>
                <c:pt idx="0">
                  <c:v>Dryland Agriculture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(3)'!$C$90:$O$90</c:f>
              <c:numCache>
                <c:formatCode>_-* #,##0.00_-;\-* #,##0.00_-;_-* "-"_-;_-@_-</c:formatCode>
                <c:ptCount val="13"/>
                <c:pt idx="0">
                  <c:v>14377</c:v>
                </c:pt>
                <c:pt idx="1">
                  <c:v>15367.6</c:v>
                </c:pt>
                <c:pt idx="2">
                  <c:v>16358.2</c:v>
                </c:pt>
                <c:pt idx="3">
                  <c:v>16721.900000000001</c:v>
                </c:pt>
                <c:pt idx="4">
                  <c:v>16803.3</c:v>
                </c:pt>
                <c:pt idx="5">
                  <c:v>16880.2</c:v>
                </c:pt>
                <c:pt idx="6">
                  <c:v>16880.2</c:v>
                </c:pt>
                <c:pt idx="7">
                  <c:v>17184</c:v>
                </c:pt>
                <c:pt idx="8">
                  <c:v>16395.8</c:v>
                </c:pt>
                <c:pt idx="9">
                  <c:v>17071.599999999999</c:v>
                </c:pt>
                <c:pt idx="10">
                  <c:v>16376.6</c:v>
                </c:pt>
                <c:pt idx="11">
                  <c:v>18278.400000000001</c:v>
                </c:pt>
                <c:pt idx="12">
                  <c:v>21670.799999999999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9D4-43F9-9A4B-37FF07E0D0EF}"/>
            </c:ext>
          </c:extLst>
        </c:ser>
        <c:ser>
          <c:idx val="9"/>
          <c:order val="9"/>
          <c:tx>
            <c:strRef>
              <c:f>'res (3)'!$B$91</c:f>
              <c:strCache>
                <c:ptCount val="1"/>
                <c:pt idx="0">
                  <c:v>Shrub-Mixed Dryland Farm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(3)'!$C$91:$O$91</c:f>
              <c:numCache>
                <c:formatCode>_-* #,##0.00_-;\-* #,##0.00_-;_-* "-"_-;_-@_-</c:formatCode>
                <c:ptCount val="13"/>
                <c:pt idx="0">
                  <c:v>43462.3</c:v>
                </c:pt>
                <c:pt idx="1">
                  <c:v>49012.800000000003</c:v>
                </c:pt>
                <c:pt idx="2">
                  <c:v>54563.3</c:v>
                </c:pt>
                <c:pt idx="3">
                  <c:v>54563.3</c:v>
                </c:pt>
                <c:pt idx="4">
                  <c:v>65249.9</c:v>
                </c:pt>
                <c:pt idx="5">
                  <c:v>65378.5</c:v>
                </c:pt>
                <c:pt idx="6">
                  <c:v>65378.5</c:v>
                </c:pt>
                <c:pt idx="7">
                  <c:v>65760.399999999994</c:v>
                </c:pt>
                <c:pt idx="8">
                  <c:v>62139.3</c:v>
                </c:pt>
                <c:pt idx="9">
                  <c:v>65070.9</c:v>
                </c:pt>
                <c:pt idx="10">
                  <c:v>65343.8</c:v>
                </c:pt>
                <c:pt idx="11">
                  <c:v>70691.7</c:v>
                </c:pt>
                <c:pt idx="12">
                  <c:v>68599.7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9D4-43F9-9A4B-37FF07E0D0EF}"/>
            </c:ext>
          </c:extLst>
        </c:ser>
        <c:ser>
          <c:idx val="10"/>
          <c:order val="10"/>
          <c:tx>
            <c:strRef>
              <c:f>'res (3)'!$B$92</c:f>
              <c:strCache>
                <c:ptCount val="1"/>
                <c:pt idx="0">
                  <c:v>Paddy Field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(3)'!$C$92:$O$92</c:f>
              <c:numCache>
                <c:formatCode>_-* #,##0.00_-;\-* #,##0.00_-;_-* "-"_-;_-@_-</c:formatCode>
                <c:ptCount val="13"/>
                <c:pt idx="0">
                  <c:v>10931.7</c:v>
                </c:pt>
                <c:pt idx="1">
                  <c:v>10931.7</c:v>
                </c:pt>
                <c:pt idx="2">
                  <c:v>10931.7</c:v>
                </c:pt>
                <c:pt idx="3">
                  <c:v>10931.7</c:v>
                </c:pt>
                <c:pt idx="4">
                  <c:v>10973.6</c:v>
                </c:pt>
                <c:pt idx="5">
                  <c:v>10973.6</c:v>
                </c:pt>
                <c:pt idx="6">
                  <c:v>11043.9</c:v>
                </c:pt>
                <c:pt idx="7">
                  <c:v>11463.2</c:v>
                </c:pt>
                <c:pt idx="8">
                  <c:v>11458.9</c:v>
                </c:pt>
                <c:pt idx="9">
                  <c:v>11388.1</c:v>
                </c:pt>
                <c:pt idx="10">
                  <c:v>11388.1</c:v>
                </c:pt>
                <c:pt idx="11">
                  <c:v>48795.199999999997</c:v>
                </c:pt>
                <c:pt idx="12">
                  <c:v>45504.6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9D4-43F9-9A4B-37FF07E0D0EF}"/>
            </c:ext>
          </c:extLst>
        </c:ser>
        <c:ser>
          <c:idx val="11"/>
          <c:order val="11"/>
          <c:tx>
            <c:strRef>
              <c:f>'res (3)'!$B$93</c:f>
              <c:strCache>
                <c:ptCount val="1"/>
                <c:pt idx="0">
                  <c:v>Fish Pond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(3)'!$C$93:$O$93</c:f>
              <c:numCache>
                <c:formatCode>_-* #,##0.00_-;\-* #,##0.00_-;_-* "-"_-;_-@_-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448.15699999999998</c:v>
                </c:pt>
                <c:pt idx="12">
                  <c:v>79.672200000000004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9D4-43F9-9A4B-37FF07E0D0EF}"/>
            </c:ext>
          </c:extLst>
        </c:ser>
        <c:ser>
          <c:idx val="12"/>
          <c:order val="12"/>
          <c:tx>
            <c:strRef>
              <c:f>'res (3)'!$B$94</c:f>
              <c:strCache>
                <c:ptCount val="1"/>
                <c:pt idx="0">
                  <c:v>Airport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(3)'!$C$94:$O$94</c:f>
              <c:numCache>
                <c:formatCode>_-* #,##0.00_-;\-* #,##0.00_-;_-* "-"_-;_-@_-</c:formatCode>
                <c:ptCount val="13"/>
                <c:pt idx="0">
                  <c:v>158.70400000000001</c:v>
                </c:pt>
                <c:pt idx="1">
                  <c:v>158.70400000000001</c:v>
                </c:pt>
                <c:pt idx="2">
                  <c:v>158.70400000000001</c:v>
                </c:pt>
                <c:pt idx="3">
                  <c:v>158.70400000000001</c:v>
                </c:pt>
                <c:pt idx="4">
                  <c:v>158.70400000000001</c:v>
                </c:pt>
                <c:pt idx="5">
                  <c:v>158.70400000000001</c:v>
                </c:pt>
                <c:pt idx="6">
                  <c:v>158.70400000000001</c:v>
                </c:pt>
                <c:pt idx="7">
                  <c:v>158.70400000000001</c:v>
                </c:pt>
                <c:pt idx="8">
                  <c:v>158.70400000000001</c:v>
                </c:pt>
                <c:pt idx="9">
                  <c:v>158.70400000000001</c:v>
                </c:pt>
                <c:pt idx="10">
                  <c:v>158.70400000000001</c:v>
                </c:pt>
                <c:pt idx="11">
                  <c:v>175.21</c:v>
                </c:pt>
                <c:pt idx="1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9D4-43F9-9A4B-37FF07E0D0EF}"/>
            </c:ext>
          </c:extLst>
        </c:ser>
        <c:ser>
          <c:idx val="13"/>
          <c:order val="13"/>
          <c:tx>
            <c:strRef>
              <c:f>'res (3)'!$B$95</c:f>
              <c:strCache>
                <c:ptCount val="1"/>
                <c:pt idx="0">
                  <c:v>Transmigration Area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(3)'!$C$95:$O$95</c:f>
              <c:numCache>
                <c:formatCode>_-* #,##0.00_-;\-* #,##0.00_-;_-* "-"_-;_-@_-</c:formatCode>
                <c:ptCount val="13"/>
                <c:pt idx="0">
                  <c:v>36638</c:v>
                </c:pt>
                <c:pt idx="1">
                  <c:v>41429.599999999999</c:v>
                </c:pt>
                <c:pt idx="2">
                  <c:v>46221.2</c:v>
                </c:pt>
                <c:pt idx="3">
                  <c:v>46221.2</c:v>
                </c:pt>
                <c:pt idx="4">
                  <c:v>46221.2</c:v>
                </c:pt>
                <c:pt idx="5">
                  <c:v>46221.2</c:v>
                </c:pt>
                <c:pt idx="6">
                  <c:v>46221.2</c:v>
                </c:pt>
                <c:pt idx="7">
                  <c:v>46440.4</c:v>
                </c:pt>
                <c:pt idx="8">
                  <c:v>46440.4</c:v>
                </c:pt>
                <c:pt idx="9">
                  <c:v>46151.8</c:v>
                </c:pt>
                <c:pt idx="10">
                  <c:v>45503.7</c:v>
                </c:pt>
                <c:pt idx="11">
                  <c:v>26525.599999999999</c:v>
                </c:pt>
                <c:pt idx="12">
                  <c:v>25575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9D4-43F9-9A4B-37FF07E0D0EF}"/>
            </c:ext>
          </c:extLst>
        </c:ser>
        <c:ser>
          <c:idx val="14"/>
          <c:order val="14"/>
          <c:tx>
            <c:strRef>
              <c:f>'res (3)'!$B$96</c:f>
              <c:strCache>
                <c:ptCount val="1"/>
                <c:pt idx="0">
                  <c:v>Swamp</c:v>
                </c:pt>
              </c:strCache>
            </c:strRef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9D4-43F9-9A4B-37FF07E0D0EF}"/>
                </c:ext>
              </c:extLst>
            </c:dLbl>
            <c:dLbl>
              <c:idx val="2"/>
              <c:layout>
                <c:manualLayout>
                  <c:x val="-2.1085273377063871E-2"/>
                  <c:y val="2.956120522430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9D4-43F9-9A4B-37FF07E0D0E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9D4-43F9-9A4B-37FF07E0D0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9D4-43F9-9A4B-37FF07E0D0E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9D4-43F9-9A4B-37FF07E0D0EF}"/>
                </c:ext>
              </c:extLst>
            </c:dLbl>
            <c:dLbl>
              <c:idx val="7"/>
              <c:layout>
                <c:manualLayout>
                  <c:x val="-2.6046514171667135E-2"/>
                  <c:y val="2.4018479244746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9D4-43F9-9A4B-37FF07E0D0E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9D4-43F9-9A4B-37FF07E0D0EF}"/>
                </c:ext>
              </c:extLst>
            </c:dLbl>
            <c:dLbl>
              <c:idx val="9"/>
              <c:layout>
                <c:manualLayout>
                  <c:x val="-3.9689926356826111E-2"/>
                  <c:y val="1.8475753265189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9D4-43F9-9A4B-37FF07E0D0EF}"/>
                </c:ext>
              </c:extLst>
            </c:dLbl>
            <c:dLbl>
              <c:idx val="10"/>
              <c:layout>
                <c:manualLayout>
                  <c:x val="-2.2325583575714687E-2"/>
                  <c:y val="1.2933027285632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9D4-43F9-9A4B-37FF07E0D0E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9D4-43F9-9A4B-37FF07E0D0EF}"/>
                </c:ext>
              </c:extLst>
            </c:dLbl>
            <c:dLbl>
              <c:idx val="12"/>
              <c:layout>
                <c:manualLayout>
                  <c:x val="-4.5891477350080187E-2"/>
                  <c:y val="1.8475753265189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9D4-43F9-9A4B-37FF07E0D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(3)'!$C$96:$O$96</c:f>
              <c:numCache>
                <c:formatCode>_-* #,##0.00_-;\-* #,##0.00_-;_-* "-"_-;_-@_-</c:formatCode>
                <c:ptCount val="13"/>
                <c:pt idx="0">
                  <c:v>394375</c:v>
                </c:pt>
                <c:pt idx="1">
                  <c:v>456595.5</c:v>
                </c:pt>
                <c:pt idx="2">
                  <c:v>518816</c:v>
                </c:pt>
                <c:pt idx="3">
                  <c:v>521051</c:v>
                </c:pt>
                <c:pt idx="4">
                  <c:v>527044</c:v>
                </c:pt>
                <c:pt idx="5">
                  <c:v>527044</c:v>
                </c:pt>
                <c:pt idx="6">
                  <c:v>527034</c:v>
                </c:pt>
                <c:pt idx="7">
                  <c:v>530472</c:v>
                </c:pt>
                <c:pt idx="8">
                  <c:v>529565</c:v>
                </c:pt>
                <c:pt idx="9">
                  <c:v>516113</c:v>
                </c:pt>
                <c:pt idx="10">
                  <c:v>554354</c:v>
                </c:pt>
                <c:pt idx="11">
                  <c:v>532291</c:v>
                </c:pt>
                <c:pt idx="12">
                  <c:v>437538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9D4-43F9-9A4B-37FF07E0D0EF}"/>
            </c:ext>
          </c:extLst>
        </c:ser>
        <c:ser>
          <c:idx val="15"/>
          <c:order val="15"/>
          <c:tx>
            <c:strRef>
              <c:f>'res (3)'!$B$81</c:f>
              <c:strCache>
                <c:ptCount val="1"/>
                <c:pt idx="0">
                  <c:v>Year</c:v>
                </c:pt>
              </c:strCache>
            </c:strRef>
          </c:tx>
          <c:cat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'res (3)'!$C$81:$O$81</c:f>
              <c:numCache>
                <c:formatCode>General</c:formatCode>
                <c:ptCount val="13"/>
                <c:pt idx="0" formatCode="0">
                  <c:v>1990</c:v>
                </c:pt>
                <c:pt idx="1">
                  <c:v>1996</c:v>
                </c:pt>
                <c:pt idx="2">
                  <c:v>2000</c:v>
                </c:pt>
                <c:pt idx="3">
                  <c:v>2003</c:v>
                </c:pt>
                <c:pt idx="4">
                  <c:v>2006</c:v>
                </c:pt>
                <c:pt idx="5">
                  <c:v>2009</c:v>
                </c:pt>
                <c:pt idx="6">
                  <c:v>2011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9D4-43F9-9A4B-37FF07E0D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0224"/>
        <c:axId val="107696128"/>
      </c:lineChart>
      <c:catAx>
        <c:axId val="107620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7696128"/>
        <c:crosses val="autoZero"/>
        <c:auto val="1"/>
        <c:lblAlgn val="ctr"/>
        <c:lblOffset val="100"/>
        <c:noMultiLvlLbl val="0"/>
      </c:catAx>
      <c:valAx>
        <c:axId val="107696128"/>
        <c:scaling>
          <c:orientation val="minMax"/>
          <c:max val="1000000"/>
          <c:min val="0"/>
        </c:scaling>
        <c:delete val="0"/>
        <c:axPos val="l"/>
        <c:majorGridlines/>
        <c:numFmt formatCode="_-* #,##0.00_-;\-* #,##0.00_-;_-* &quot;-&quot;_-;_-@_-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7620224"/>
        <c:crosses val="autoZero"/>
        <c:crossBetween val="between"/>
        <c:majorUnit val="50000"/>
        <c:minorUnit val="10000"/>
      </c:valAx>
    </c:plotArea>
    <c:legend>
      <c:legendPos val="r"/>
      <c:legendEntry>
        <c:idx val="15"/>
        <c:delete val="1"/>
      </c:legendEntry>
      <c:overlay val="0"/>
      <c:txPr>
        <a:bodyPr/>
        <a:lstStyle/>
        <a:p>
          <a:pPr>
            <a:defRPr sz="7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9</xdr:row>
      <xdr:rowOff>123825</xdr:rowOff>
    </xdr:from>
    <xdr:to>
      <xdr:col>15</xdr:col>
      <xdr:colOff>9525</xdr:colOff>
      <xdr:row>18</xdr:row>
      <xdr:rowOff>9525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020300" y="1967865"/>
          <a:ext cx="2234565" cy="1539240"/>
        </a:xfrm>
        <a:custGeom>
          <a:avLst/>
          <a:gdLst>
            <a:gd name="connsiteX0" fmla="*/ 1476375 w 1476375"/>
            <a:gd name="connsiteY0" fmla="*/ 76200 h 1600200"/>
            <a:gd name="connsiteX1" fmla="*/ 1162050 w 1476375"/>
            <a:gd name="connsiteY1" fmla="*/ 200025 h 1600200"/>
            <a:gd name="connsiteX2" fmla="*/ 638175 w 1476375"/>
            <a:gd name="connsiteY2" fmla="*/ 1276350 h 1600200"/>
            <a:gd name="connsiteX3" fmla="*/ 0 w 1476375"/>
            <a:gd name="connsiteY3" fmla="*/ 1600200 h 160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76375" h="1600200">
              <a:moveTo>
                <a:pt x="1476375" y="76200"/>
              </a:moveTo>
              <a:cubicBezTo>
                <a:pt x="1389062" y="38100"/>
                <a:pt x="1301750" y="0"/>
                <a:pt x="1162050" y="200025"/>
              </a:cubicBezTo>
              <a:cubicBezTo>
                <a:pt x="1022350" y="400050"/>
                <a:pt x="831850" y="1042988"/>
                <a:pt x="638175" y="1276350"/>
              </a:cubicBezTo>
              <a:cubicBezTo>
                <a:pt x="444500" y="1509712"/>
                <a:pt x="222250" y="1554956"/>
                <a:pt x="0" y="1600200"/>
              </a:cubicBez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15</xdr:col>
      <xdr:colOff>19050</xdr:colOff>
      <xdr:row>9</xdr:row>
      <xdr:rowOff>177800</xdr:rowOff>
    </xdr:from>
    <xdr:to>
      <xdr:col>18</xdr:col>
      <xdr:colOff>0</xdr:colOff>
      <xdr:row>18</xdr:row>
      <xdr:rowOff>52387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264390" y="2021840"/>
          <a:ext cx="1809750" cy="1528127"/>
        </a:xfrm>
        <a:custGeom>
          <a:avLst/>
          <a:gdLst>
            <a:gd name="connsiteX0" fmla="*/ 0 w 1609725"/>
            <a:gd name="connsiteY0" fmla="*/ 12700 h 1589087"/>
            <a:gd name="connsiteX1" fmla="*/ 200025 w 1609725"/>
            <a:gd name="connsiteY1" fmla="*/ 69850 h 1589087"/>
            <a:gd name="connsiteX2" fmla="*/ 428625 w 1609725"/>
            <a:gd name="connsiteY2" fmla="*/ 431800 h 1589087"/>
            <a:gd name="connsiteX3" fmla="*/ 971550 w 1609725"/>
            <a:gd name="connsiteY3" fmla="*/ 1403350 h 1589087"/>
            <a:gd name="connsiteX4" fmla="*/ 1609725 w 1609725"/>
            <a:gd name="connsiteY4" fmla="*/ 1546225 h 1589087"/>
            <a:gd name="connsiteX5" fmla="*/ 1609725 w 1609725"/>
            <a:gd name="connsiteY5" fmla="*/ 1546225 h 1589087"/>
            <a:gd name="connsiteX6" fmla="*/ 1609725 w 1609725"/>
            <a:gd name="connsiteY6" fmla="*/ 1546225 h 15890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609725" h="1589087">
              <a:moveTo>
                <a:pt x="0" y="12700"/>
              </a:moveTo>
              <a:cubicBezTo>
                <a:pt x="64294" y="6350"/>
                <a:pt x="128588" y="0"/>
                <a:pt x="200025" y="69850"/>
              </a:cubicBezTo>
              <a:cubicBezTo>
                <a:pt x="271462" y="139700"/>
                <a:pt x="300038" y="209550"/>
                <a:pt x="428625" y="431800"/>
              </a:cubicBezTo>
              <a:cubicBezTo>
                <a:pt x="557212" y="654050"/>
                <a:pt x="774700" y="1217613"/>
                <a:pt x="971550" y="1403350"/>
              </a:cubicBezTo>
              <a:cubicBezTo>
                <a:pt x="1168400" y="1589087"/>
                <a:pt x="1609725" y="1546225"/>
                <a:pt x="1609725" y="1546225"/>
              </a:cubicBezTo>
              <a:lnTo>
                <a:pt x="1609725" y="1546225"/>
              </a:lnTo>
              <a:lnTo>
                <a:pt x="1609725" y="1546225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11</xdr:col>
      <xdr:colOff>609600</xdr:colOff>
      <xdr:row>30</xdr:row>
      <xdr:rowOff>123825</xdr:rowOff>
    </xdr:from>
    <xdr:to>
      <xdr:col>15</xdr:col>
      <xdr:colOff>9525</xdr:colOff>
      <xdr:row>39</xdr:row>
      <xdr:rowOff>9525</xdr:rowOff>
    </xdr:to>
    <xdr:sp macro="" textlink="">
      <xdr:nvSpPr>
        <xdr:cNvPr id="6" name="Freeform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11640" y="2333625"/>
          <a:ext cx="2234565" cy="1539240"/>
        </a:xfrm>
        <a:custGeom>
          <a:avLst/>
          <a:gdLst>
            <a:gd name="connsiteX0" fmla="*/ 1476375 w 1476375"/>
            <a:gd name="connsiteY0" fmla="*/ 76200 h 1600200"/>
            <a:gd name="connsiteX1" fmla="*/ 1162050 w 1476375"/>
            <a:gd name="connsiteY1" fmla="*/ 200025 h 1600200"/>
            <a:gd name="connsiteX2" fmla="*/ 638175 w 1476375"/>
            <a:gd name="connsiteY2" fmla="*/ 1276350 h 1600200"/>
            <a:gd name="connsiteX3" fmla="*/ 0 w 1476375"/>
            <a:gd name="connsiteY3" fmla="*/ 1600200 h 160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76375" h="1600200">
              <a:moveTo>
                <a:pt x="1476375" y="76200"/>
              </a:moveTo>
              <a:cubicBezTo>
                <a:pt x="1389062" y="38100"/>
                <a:pt x="1301750" y="0"/>
                <a:pt x="1162050" y="200025"/>
              </a:cubicBezTo>
              <a:cubicBezTo>
                <a:pt x="1022350" y="400050"/>
                <a:pt x="831850" y="1042988"/>
                <a:pt x="638175" y="1276350"/>
              </a:cubicBezTo>
              <a:cubicBezTo>
                <a:pt x="444500" y="1509712"/>
                <a:pt x="222250" y="1554956"/>
                <a:pt x="0" y="1600200"/>
              </a:cubicBez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15</xdr:col>
      <xdr:colOff>19050</xdr:colOff>
      <xdr:row>30</xdr:row>
      <xdr:rowOff>177800</xdr:rowOff>
    </xdr:from>
    <xdr:to>
      <xdr:col>18</xdr:col>
      <xdr:colOff>0</xdr:colOff>
      <xdr:row>39</xdr:row>
      <xdr:rowOff>52387</xdr:rowOff>
    </xdr:to>
    <xdr:sp macro="" textlink="">
      <xdr:nvSpPr>
        <xdr:cNvPr id="7" name="Freeform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1555730" y="2387600"/>
          <a:ext cx="1908810" cy="1528127"/>
        </a:xfrm>
        <a:custGeom>
          <a:avLst/>
          <a:gdLst>
            <a:gd name="connsiteX0" fmla="*/ 0 w 1609725"/>
            <a:gd name="connsiteY0" fmla="*/ 12700 h 1589087"/>
            <a:gd name="connsiteX1" fmla="*/ 200025 w 1609725"/>
            <a:gd name="connsiteY1" fmla="*/ 69850 h 1589087"/>
            <a:gd name="connsiteX2" fmla="*/ 428625 w 1609725"/>
            <a:gd name="connsiteY2" fmla="*/ 431800 h 1589087"/>
            <a:gd name="connsiteX3" fmla="*/ 971550 w 1609725"/>
            <a:gd name="connsiteY3" fmla="*/ 1403350 h 1589087"/>
            <a:gd name="connsiteX4" fmla="*/ 1609725 w 1609725"/>
            <a:gd name="connsiteY4" fmla="*/ 1546225 h 1589087"/>
            <a:gd name="connsiteX5" fmla="*/ 1609725 w 1609725"/>
            <a:gd name="connsiteY5" fmla="*/ 1546225 h 1589087"/>
            <a:gd name="connsiteX6" fmla="*/ 1609725 w 1609725"/>
            <a:gd name="connsiteY6" fmla="*/ 1546225 h 15890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609725" h="1589087">
              <a:moveTo>
                <a:pt x="0" y="12700"/>
              </a:moveTo>
              <a:cubicBezTo>
                <a:pt x="64294" y="6350"/>
                <a:pt x="128588" y="0"/>
                <a:pt x="200025" y="69850"/>
              </a:cubicBezTo>
              <a:cubicBezTo>
                <a:pt x="271462" y="139700"/>
                <a:pt x="300038" y="209550"/>
                <a:pt x="428625" y="431800"/>
              </a:cubicBezTo>
              <a:cubicBezTo>
                <a:pt x="557212" y="654050"/>
                <a:pt x="774700" y="1217613"/>
                <a:pt x="971550" y="1403350"/>
              </a:cubicBezTo>
              <a:cubicBezTo>
                <a:pt x="1168400" y="1589087"/>
                <a:pt x="1609725" y="1546225"/>
                <a:pt x="1609725" y="1546225"/>
              </a:cubicBezTo>
              <a:lnTo>
                <a:pt x="1609725" y="1546225"/>
              </a:lnTo>
              <a:lnTo>
                <a:pt x="1609725" y="1546225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1234440</xdr:colOff>
      <xdr:row>51</xdr:row>
      <xdr:rowOff>160020</xdr:rowOff>
    </xdr:from>
    <xdr:to>
      <xdr:col>3</xdr:col>
      <xdr:colOff>68580</xdr:colOff>
      <xdr:row>53</xdr:row>
      <xdr:rowOff>45720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844040" y="9250680"/>
          <a:ext cx="75438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1234440</xdr:colOff>
      <xdr:row>61</xdr:row>
      <xdr:rowOff>152400</xdr:rowOff>
    </xdr:from>
    <xdr:to>
      <xdr:col>3</xdr:col>
      <xdr:colOff>68580</xdr:colOff>
      <xdr:row>63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844040" y="11071860"/>
          <a:ext cx="75438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27</xdr:col>
      <xdr:colOff>319597</xdr:colOff>
      <xdr:row>2</xdr:row>
      <xdr:rowOff>70988</xdr:rowOff>
    </xdr:from>
    <xdr:to>
      <xdr:col>42</xdr:col>
      <xdr:colOff>452827</xdr:colOff>
      <xdr:row>39</xdr:row>
      <xdr:rowOff>155455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48842" y="430422"/>
          <a:ext cx="12210211" cy="67220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761294</xdr:colOff>
      <xdr:row>16</xdr:row>
      <xdr:rowOff>169334</xdr:rowOff>
    </xdr:from>
    <xdr:to>
      <xdr:col>2</xdr:col>
      <xdr:colOff>959555</xdr:colOff>
      <xdr:row>25</xdr:row>
      <xdr:rowOff>70556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953683" y="3104445"/>
          <a:ext cx="198261" cy="22930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pe</a:t>
          </a:r>
        </a:p>
      </xdr:txBody>
    </xdr:sp>
    <xdr:clientData/>
  </xdr:twoCellAnchor>
  <xdr:twoCellAnchor>
    <xdr:from>
      <xdr:col>2</xdr:col>
      <xdr:colOff>388054</xdr:colOff>
      <xdr:row>6</xdr:row>
      <xdr:rowOff>105832</xdr:rowOff>
    </xdr:from>
    <xdr:to>
      <xdr:col>17</xdr:col>
      <xdr:colOff>359832</xdr:colOff>
      <xdr:row>36</xdr:row>
      <xdr:rowOff>155222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130178</xdr:colOff>
      <xdr:row>60</xdr:row>
      <xdr:rowOff>144992</xdr:rowOff>
    </xdr:from>
    <xdr:to>
      <xdr:col>5</xdr:col>
      <xdr:colOff>460378</xdr:colOff>
      <xdr:row>62</xdr:row>
      <xdr:rowOff>128764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5400000">
          <a:off x="3196169" y="11599334"/>
          <a:ext cx="350661" cy="93697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7</xdr:row>
      <xdr:rowOff>152400</xdr:rowOff>
    </xdr:from>
    <xdr:to>
      <xdr:col>14</xdr:col>
      <xdr:colOff>234950</xdr:colOff>
      <xdr:row>31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319597</xdr:colOff>
      <xdr:row>2</xdr:row>
      <xdr:rowOff>70988</xdr:rowOff>
    </xdr:from>
    <xdr:to>
      <xdr:col>43</xdr:col>
      <xdr:colOff>452828</xdr:colOff>
      <xdr:row>39</xdr:row>
      <xdr:rowOff>155455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328447" y="439288"/>
          <a:ext cx="12198230" cy="68662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497417</xdr:colOff>
      <xdr:row>74</xdr:row>
      <xdr:rowOff>174625</xdr:rowOff>
    </xdr:from>
    <xdr:to>
      <xdr:col>23</xdr:col>
      <xdr:colOff>428625</xdr:colOff>
      <xdr:row>90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319597</xdr:colOff>
      <xdr:row>2</xdr:row>
      <xdr:rowOff>70988</xdr:rowOff>
    </xdr:from>
    <xdr:to>
      <xdr:col>43</xdr:col>
      <xdr:colOff>452828</xdr:colOff>
      <xdr:row>39</xdr:row>
      <xdr:rowOff>155455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614197" y="439288"/>
          <a:ext cx="12198231" cy="68662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44097</xdr:colOff>
      <xdr:row>69</xdr:row>
      <xdr:rowOff>118178</xdr:rowOff>
    </xdr:from>
    <xdr:to>
      <xdr:col>26</xdr:col>
      <xdr:colOff>127000</xdr:colOff>
      <xdr:row>95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364002</xdr:colOff>
      <xdr:row>101</xdr:row>
      <xdr:rowOff>107759</xdr:rowOff>
    </xdr:from>
    <xdr:to>
      <xdr:col>14</xdr:col>
      <xdr:colOff>111125</xdr:colOff>
      <xdr:row>137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A22" sqref="A22:C22"/>
    </sheetView>
  </sheetViews>
  <sheetFormatPr defaultRowHeight="14.75" x14ac:dyDescent="0.75"/>
  <cols>
    <col min="1" max="1" width="3.54296875" bestFit="1" customWidth="1"/>
    <col min="2" max="2" width="12.453125" bestFit="1" customWidth="1"/>
    <col min="3" max="3" width="18" bestFit="1" customWidth="1"/>
  </cols>
  <sheetData>
    <row r="1" spans="1:3" x14ac:dyDescent="0.75">
      <c r="A1" s="5" t="s">
        <v>3</v>
      </c>
      <c r="B1" s="5" t="s">
        <v>0</v>
      </c>
      <c r="C1" s="5" t="s">
        <v>2</v>
      </c>
    </row>
    <row r="2" spans="1:3" x14ac:dyDescent="0.75">
      <c r="A2" s="2">
        <v>1</v>
      </c>
      <c r="B2" s="3" t="s">
        <v>4</v>
      </c>
      <c r="C2" s="4">
        <v>644097</v>
      </c>
    </row>
    <row r="3" spans="1:3" x14ac:dyDescent="0.75">
      <c r="A3" s="2">
        <v>2</v>
      </c>
      <c r="B3" s="3" t="s">
        <v>5</v>
      </c>
      <c r="C3" s="4">
        <v>332619</v>
      </c>
    </row>
    <row r="4" spans="1:3" x14ac:dyDescent="0.75">
      <c r="A4" s="2">
        <v>3</v>
      </c>
      <c r="B4" s="3" t="s">
        <v>6</v>
      </c>
      <c r="C4" s="4">
        <v>507591</v>
      </c>
    </row>
    <row r="5" spans="1:3" x14ac:dyDescent="0.75">
      <c r="A5" s="2">
        <v>4</v>
      </c>
      <c r="B5" s="3" t="s">
        <v>7</v>
      </c>
      <c r="C5" s="4">
        <v>233099</v>
      </c>
    </row>
    <row r="6" spans="1:3" x14ac:dyDescent="0.75">
      <c r="A6" s="2">
        <v>5</v>
      </c>
      <c r="B6" s="3" t="s">
        <v>8</v>
      </c>
      <c r="C6" s="4">
        <v>334982</v>
      </c>
    </row>
    <row r="7" spans="1:3" x14ac:dyDescent="0.75">
      <c r="A7" s="2">
        <v>6</v>
      </c>
      <c r="B7" s="3" t="s">
        <v>9</v>
      </c>
      <c r="C7" s="4">
        <v>290296</v>
      </c>
    </row>
    <row r="8" spans="1:3" x14ac:dyDescent="0.75">
      <c r="A8" s="2">
        <v>7</v>
      </c>
      <c r="B8" s="3" t="s">
        <v>10</v>
      </c>
      <c r="C8" s="4">
        <v>183168</v>
      </c>
    </row>
    <row r="9" spans="1:3" x14ac:dyDescent="0.75">
      <c r="A9" s="2">
        <v>8</v>
      </c>
      <c r="B9" s="3" t="s">
        <v>11</v>
      </c>
      <c r="C9" s="4">
        <v>74853.2</v>
      </c>
    </row>
    <row r="10" spans="1:3" x14ac:dyDescent="0.75">
      <c r="A10" s="2">
        <v>9</v>
      </c>
      <c r="B10" s="3" t="s">
        <v>12</v>
      </c>
      <c r="C10" s="4">
        <v>93188.6</v>
      </c>
    </row>
    <row r="11" spans="1:3" x14ac:dyDescent="0.75">
      <c r="A11" s="2">
        <v>10</v>
      </c>
      <c r="B11" s="3" t="s">
        <v>13</v>
      </c>
      <c r="C11" s="4">
        <v>138480</v>
      </c>
    </row>
    <row r="12" spans="1:3" x14ac:dyDescent="0.75">
      <c r="A12" s="2">
        <v>11</v>
      </c>
      <c r="B12" s="3" t="s">
        <v>14</v>
      </c>
      <c r="C12" s="4">
        <v>143275</v>
      </c>
    </row>
    <row r="13" spans="1:3" x14ac:dyDescent="0.75">
      <c r="A13" s="2">
        <v>12</v>
      </c>
      <c r="B13" s="3" t="s">
        <v>15</v>
      </c>
      <c r="C13" s="4">
        <v>39467.199999999997</v>
      </c>
    </row>
    <row r="14" spans="1:3" x14ac:dyDescent="0.75">
      <c r="A14" s="2">
        <v>13</v>
      </c>
      <c r="B14" s="3" t="s">
        <v>16</v>
      </c>
      <c r="C14" s="4">
        <v>152339</v>
      </c>
    </row>
    <row r="15" spans="1:3" x14ac:dyDescent="0.75">
      <c r="A15" s="2">
        <v>14</v>
      </c>
      <c r="B15" s="3" t="s">
        <v>17</v>
      </c>
      <c r="C15" s="4">
        <v>133555</v>
      </c>
    </row>
    <row r="16" spans="1:3" x14ac:dyDescent="0.75">
      <c r="A16" s="2">
        <v>15</v>
      </c>
      <c r="B16" s="3" t="s">
        <v>18</v>
      </c>
      <c r="C16" s="4">
        <v>256785</v>
      </c>
    </row>
    <row r="17" spans="1:3" x14ac:dyDescent="0.75">
      <c r="A17" s="2">
        <v>16</v>
      </c>
      <c r="B17" s="3" t="s">
        <v>19</v>
      </c>
      <c r="C17" s="4">
        <v>129545</v>
      </c>
    </row>
    <row r="18" spans="1:3" x14ac:dyDescent="0.75">
      <c r="A18" s="2">
        <v>17</v>
      </c>
      <c r="B18" s="3" t="s">
        <v>20</v>
      </c>
      <c r="C18" s="4">
        <v>147066</v>
      </c>
    </row>
    <row r="19" spans="1:3" x14ac:dyDescent="0.75">
      <c r="A19" s="2">
        <v>18</v>
      </c>
      <c r="B19" s="3" t="s">
        <v>21</v>
      </c>
      <c r="C19" s="4">
        <v>331280</v>
      </c>
    </row>
    <row r="20" spans="1:3" x14ac:dyDescent="0.75">
      <c r="A20" s="2">
        <v>19</v>
      </c>
      <c r="B20" s="3" t="s">
        <v>22</v>
      </c>
      <c r="C20" s="4">
        <v>460551</v>
      </c>
    </row>
    <row r="21" spans="1:3" x14ac:dyDescent="0.75">
      <c r="A21" s="2">
        <v>20</v>
      </c>
      <c r="B21" s="3" t="s">
        <v>23</v>
      </c>
      <c r="C21" s="4">
        <v>225478</v>
      </c>
    </row>
    <row r="22" spans="1:3" x14ac:dyDescent="0.75">
      <c r="A22" s="162" t="s">
        <v>1</v>
      </c>
      <c r="B22" s="162"/>
      <c r="C22" s="6">
        <f>SUM(C2:C21)</f>
        <v>4851715</v>
      </c>
    </row>
  </sheetData>
  <mergeCells count="1">
    <mergeCell ref="A22:B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"/>
  <sheetViews>
    <sheetView topLeftCell="B7" zoomScale="85" zoomScaleNormal="85" workbookViewId="0">
      <selection activeCell="C27" sqref="C27"/>
    </sheetView>
  </sheetViews>
  <sheetFormatPr defaultRowHeight="14.75" x14ac:dyDescent="0.75"/>
  <cols>
    <col min="1" max="1" width="4" bestFit="1" customWidth="1"/>
    <col min="2" max="2" width="32.1796875" bestFit="1" customWidth="1"/>
    <col min="3" max="3" width="28.54296875" bestFit="1" customWidth="1"/>
    <col min="4" max="4" width="12.81640625" style="1" bestFit="1" customWidth="1"/>
    <col min="5" max="5" width="13.1796875" bestFit="1" customWidth="1"/>
    <col min="6" max="6" width="19.453125" customWidth="1"/>
    <col min="7" max="7" width="21.6328125" customWidth="1"/>
    <col min="8" max="10" width="12.81640625" bestFit="1" customWidth="1"/>
    <col min="11" max="11" width="14.1796875" bestFit="1" customWidth="1"/>
    <col min="12" max="14" width="12.81640625" bestFit="1" customWidth="1"/>
    <col min="15" max="15" width="13.1796875" bestFit="1" customWidth="1"/>
    <col min="16" max="16" width="12.81640625" bestFit="1" customWidth="1"/>
    <col min="17" max="27" width="12.453125" bestFit="1" customWidth="1"/>
    <col min="28" max="29" width="13.1796875" bestFit="1" customWidth="1"/>
    <col min="30" max="34" width="11" bestFit="1" customWidth="1"/>
  </cols>
  <sheetData>
    <row r="1" spans="1:39" x14ac:dyDescent="0.75">
      <c r="A1" s="167" t="s">
        <v>24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</row>
    <row r="2" spans="1:39" x14ac:dyDescent="0.75">
      <c r="A2" s="168" t="s">
        <v>3</v>
      </c>
      <c r="B2" s="168" t="s">
        <v>63</v>
      </c>
      <c r="C2" s="168" t="s">
        <v>64</v>
      </c>
      <c r="D2" s="168" t="s">
        <v>70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39" x14ac:dyDescent="0.75">
      <c r="A3" s="168"/>
      <c r="B3" s="168"/>
      <c r="C3" s="168"/>
      <c r="D3" s="9">
        <v>1990</v>
      </c>
      <c r="E3" s="10">
        <v>1996</v>
      </c>
      <c r="F3" s="10">
        <v>2000</v>
      </c>
      <c r="G3" s="10">
        <v>2003</v>
      </c>
      <c r="H3" s="10">
        <v>2006</v>
      </c>
      <c r="I3" s="10">
        <v>2009</v>
      </c>
      <c r="J3" s="10">
        <v>2011</v>
      </c>
      <c r="K3" s="10">
        <v>2014</v>
      </c>
      <c r="L3" s="10">
        <v>2015</v>
      </c>
      <c r="M3" s="10">
        <v>2016</v>
      </c>
      <c r="N3" s="10">
        <v>2017</v>
      </c>
      <c r="O3" s="10">
        <v>2018</v>
      </c>
      <c r="P3" s="10">
        <v>2019</v>
      </c>
    </row>
    <row r="4" spans="1:39" x14ac:dyDescent="0.75">
      <c r="A4" s="2">
        <v>1</v>
      </c>
      <c r="B4" s="2" t="s">
        <v>25</v>
      </c>
      <c r="C4" s="18" t="s">
        <v>26</v>
      </c>
      <c r="D4" s="4">
        <v>694737</v>
      </c>
      <c r="E4" s="4">
        <v>664756.5</v>
      </c>
      <c r="F4" s="4">
        <v>634776</v>
      </c>
      <c r="G4" s="4">
        <v>619004</v>
      </c>
      <c r="H4" s="4">
        <v>598828</v>
      </c>
      <c r="I4" s="4">
        <v>553728</v>
      </c>
      <c r="J4" s="4">
        <v>553098</v>
      </c>
      <c r="K4" s="4">
        <v>543670</v>
      </c>
      <c r="L4" s="4">
        <v>529715</v>
      </c>
      <c r="M4" s="4">
        <v>522977</v>
      </c>
      <c r="N4" s="4">
        <v>519144</v>
      </c>
      <c r="O4" s="4">
        <v>401879</v>
      </c>
      <c r="P4" s="4">
        <v>500359</v>
      </c>
      <c r="Q4" s="1"/>
    </row>
    <row r="5" spans="1:39" x14ac:dyDescent="0.75">
      <c r="A5" s="2">
        <v>2</v>
      </c>
      <c r="B5" s="2" t="s">
        <v>27</v>
      </c>
      <c r="C5" s="18" t="s">
        <v>28</v>
      </c>
      <c r="D5" s="4">
        <v>638049</v>
      </c>
      <c r="E5" s="4">
        <v>620772.5</v>
      </c>
      <c r="F5" s="4">
        <v>603496</v>
      </c>
      <c r="G5" s="4">
        <v>618381</v>
      </c>
      <c r="H5" s="4">
        <v>627494</v>
      </c>
      <c r="I5" s="4">
        <v>672086</v>
      </c>
      <c r="J5" s="4">
        <v>672425</v>
      </c>
      <c r="K5" s="4">
        <v>678803</v>
      </c>
      <c r="L5" s="4">
        <v>664888</v>
      </c>
      <c r="M5" s="4">
        <v>654663</v>
      </c>
      <c r="N5" s="4">
        <v>652518</v>
      </c>
      <c r="O5" s="4">
        <v>732934</v>
      </c>
      <c r="P5" s="4">
        <v>631295</v>
      </c>
      <c r="Q5" s="1"/>
    </row>
    <row r="6" spans="1:39" x14ac:dyDescent="0.75">
      <c r="A6" s="2">
        <v>3</v>
      </c>
      <c r="B6" s="2" t="s">
        <v>29</v>
      </c>
      <c r="C6" s="18" t="s">
        <v>30</v>
      </c>
      <c r="D6" s="4">
        <v>208727</v>
      </c>
      <c r="E6" s="4">
        <v>207345</v>
      </c>
      <c r="F6" s="4">
        <v>205963</v>
      </c>
      <c r="G6" s="4">
        <v>201768</v>
      </c>
      <c r="H6" s="4">
        <v>196510</v>
      </c>
      <c r="I6" s="4">
        <v>196510</v>
      </c>
      <c r="J6" s="4">
        <v>196510</v>
      </c>
      <c r="K6" s="4">
        <v>197808</v>
      </c>
      <c r="L6" s="4">
        <v>196758</v>
      </c>
      <c r="M6" s="4">
        <v>195162</v>
      </c>
      <c r="N6" s="4">
        <v>195007</v>
      </c>
      <c r="O6" s="4">
        <v>195660</v>
      </c>
      <c r="P6" s="4">
        <v>195384</v>
      </c>
      <c r="Q6" s="1"/>
    </row>
    <row r="7" spans="1:39" x14ac:dyDescent="0.75">
      <c r="A7" s="2">
        <v>4</v>
      </c>
      <c r="B7" s="2" t="s">
        <v>31</v>
      </c>
      <c r="C7" s="18" t="s">
        <v>32</v>
      </c>
      <c r="D7" s="15">
        <v>342429</v>
      </c>
      <c r="E7" s="15">
        <v>329304</v>
      </c>
      <c r="F7" s="15">
        <v>316179</v>
      </c>
      <c r="G7" s="15">
        <v>292789</v>
      </c>
      <c r="H7" s="15">
        <v>238249</v>
      </c>
      <c r="I7" s="15">
        <v>205343</v>
      </c>
      <c r="J7" s="15">
        <v>205343</v>
      </c>
      <c r="K7" s="15">
        <v>206530</v>
      </c>
      <c r="L7" s="15">
        <v>202799</v>
      </c>
      <c r="M7" s="15">
        <v>200958</v>
      </c>
      <c r="N7" s="15">
        <v>200400</v>
      </c>
      <c r="O7" s="15">
        <v>202694</v>
      </c>
      <c r="P7" s="15">
        <v>202193</v>
      </c>
      <c r="Q7" s="1"/>
    </row>
    <row r="8" spans="1:39" x14ac:dyDescent="0.75">
      <c r="A8" s="2">
        <v>5</v>
      </c>
      <c r="B8" s="2" t="s">
        <v>33</v>
      </c>
      <c r="C8" s="19" t="s">
        <v>34</v>
      </c>
      <c r="D8" s="4">
        <v>71945.899999999994</v>
      </c>
      <c r="E8" s="4">
        <v>124194.45</v>
      </c>
      <c r="F8" s="4">
        <v>176443</v>
      </c>
      <c r="G8" s="4">
        <v>177229</v>
      </c>
      <c r="H8" s="4">
        <v>178032</v>
      </c>
      <c r="I8" s="4">
        <v>178463</v>
      </c>
      <c r="J8" s="4">
        <v>177262</v>
      </c>
      <c r="K8" s="4">
        <v>174273</v>
      </c>
      <c r="L8" s="4">
        <v>169262</v>
      </c>
      <c r="M8" s="4">
        <v>166111</v>
      </c>
      <c r="N8" s="4">
        <v>170801</v>
      </c>
      <c r="O8" s="4">
        <v>169656</v>
      </c>
      <c r="P8" s="4">
        <v>129465</v>
      </c>
      <c r="Q8" s="1"/>
    </row>
    <row r="9" spans="1:39" x14ac:dyDescent="0.75">
      <c r="A9" s="2">
        <v>6</v>
      </c>
      <c r="B9" s="2" t="s">
        <v>65</v>
      </c>
      <c r="C9" s="19" t="s">
        <v>66</v>
      </c>
      <c r="D9" s="4">
        <v>0</v>
      </c>
      <c r="E9" s="4">
        <v>0</v>
      </c>
      <c r="F9" s="4">
        <v>0</v>
      </c>
      <c r="G9" s="4">
        <v>101.02200000000001</v>
      </c>
      <c r="H9" s="4">
        <v>101.02200000000001</v>
      </c>
      <c r="I9" s="4">
        <v>101.02200000000001</v>
      </c>
      <c r="J9" s="4">
        <v>1533.15</v>
      </c>
      <c r="K9" s="4">
        <v>16535</v>
      </c>
      <c r="L9" s="4">
        <v>19885</v>
      </c>
      <c r="M9" s="4">
        <v>27397.200000000001</v>
      </c>
      <c r="N9" s="4">
        <v>53856.800000000003</v>
      </c>
      <c r="O9" s="4">
        <v>80231.399999999994</v>
      </c>
      <c r="P9" s="4">
        <v>94358.6</v>
      </c>
      <c r="Q9" s="1"/>
    </row>
    <row r="10" spans="1:39" x14ac:dyDescent="0.75">
      <c r="A10" s="2">
        <v>7</v>
      </c>
      <c r="B10" s="2" t="s">
        <v>35</v>
      </c>
      <c r="C10" s="19" t="s">
        <v>36</v>
      </c>
      <c r="D10" s="4">
        <v>3159.73</v>
      </c>
      <c r="E10" s="4">
        <v>3365.5749999999998</v>
      </c>
      <c r="F10" s="4">
        <v>3571.42</v>
      </c>
      <c r="G10" s="4">
        <v>3667.19</v>
      </c>
      <c r="H10" s="4">
        <v>3890.97</v>
      </c>
      <c r="I10" s="4">
        <v>3890.97</v>
      </c>
      <c r="J10" s="4">
        <v>3890.97</v>
      </c>
      <c r="K10" s="4">
        <v>3916.67</v>
      </c>
      <c r="L10" s="4">
        <v>3653.09</v>
      </c>
      <c r="M10" s="4">
        <v>3878.1</v>
      </c>
      <c r="N10" s="4">
        <v>3480.02</v>
      </c>
      <c r="O10" s="4">
        <v>7216.4</v>
      </c>
      <c r="P10" s="4">
        <v>7089.96</v>
      </c>
      <c r="Q10" s="1"/>
    </row>
    <row r="11" spans="1:39" x14ac:dyDescent="0.75">
      <c r="A11" s="2">
        <v>8</v>
      </c>
      <c r="B11" s="2" t="s">
        <v>37</v>
      </c>
      <c r="C11" s="19" t="s">
        <v>38</v>
      </c>
      <c r="D11" s="4">
        <v>81713.600000000006</v>
      </c>
      <c r="E11" s="4">
        <v>51759.350000000006</v>
      </c>
      <c r="F11" s="4">
        <v>21805.1</v>
      </c>
      <c r="G11" s="4">
        <v>21805.1</v>
      </c>
      <c r="H11" s="4">
        <v>21853.200000000001</v>
      </c>
      <c r="I11" s="4">
        <v>21853.200000000001</v>
      </c>
      <c r="J11" s="4">
        <v>21912.9</v>
      </c>
      <c r="K11" s="4">
        <v>23500.799999999999</v>
      </c>
      <c r="L11" s="4">
        <v>263859</v>
      </c>
      <c r="M11" s="4">
        <v>75080.7</v>
      </c>
      <c r="N11" s="4">
        <v>56539</v>
      </c>
      <c r="O11" s="4">
        <v>77994.3</v>
      </c>
      <c r="P11" s="4">
        <v>88946.1</v>
      </c>
      <c r="Q11" s="1"/>
    </row>
    <row r="12" spans="1:39" x14ac:dyDescent="0.75">
      <c r="A12" s="2">
        <v>9</v>
      </c>
      <c r="B12" s="2" t="s">
        <v>39</v>
      </c>
      <c r="C12" s="19" t="s">
        <v>40</v>
      </c>
      <c r="D12" s="4">
        <v>763.64700000000005</v>
      </c>
      <c r="E12" s="4">
        <v>763.64700000000005</v>
      </c>
      <c r="F12" s="4">
        <v>763.64700000000005</v>
      </c>
      <c r="G12" s="4">
        <v>763.64700000000005</v>
      </c>
      <c r="H12" s="4">
        <v>763.64700000000005</v>
      </c>
      <c r="I12" s="4">
        <v>763.64700000000005</v>
      </c>
      <c r="J12" s="4">
        <v>763.64700000000005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1"/>
    </row>
    <row r="13" spans="1:39" x14ac:dyDescent="0.75">
      <c r="A13" s="2">
        <v>10</v>
      </c>
      <c r="B13" s="2" t="s">
        <v>41</v>
      </c>
      <c r="C13" s="19" t="s">
        <v>42</v>
      </c>
      <c r="D13" s="4">
        <v>471693</v>
      </c>
      <c r="E13" s="4">
        <v>549086.5</v>
      </c>
      <c r="F13" s="4">
        <v>626480</v>
      </c>
      <c r="G13" s="4">
        <v>646258</v>
      </c>
      <c r="H13" s="4">
        <v>655175</v>
      </c>
      <c r="I13" s="4">
        <v>704034</v>
      </c>
      <c r="J13" s="4">
        <v>704044</v>
      </c>
      <c r="K13" s="4">
        <v>708703</v>
      </c>
      <c r="L13" s="4">
        <v>568723</v>
      </c>
      <c r="M13" s="4">
        <v>700156</v>
      </c>
      <c r="N13" s="4">
        <v>603422</v>
      </c>
      <c r="O13" s="4">
        <v>576528</v>
      </c>
      <c r="P13" s="4">
        <v>555274</v>
      </c>
      <c r="Q13" s="1"/>
    </row>
    <row r="14" spans="1:39" x14ac:dyDescent="0.75">
      <c r="A14" s="2">
        <v>11</v>
      </c>
      <c r="B14" s="2" t="s">
        <v>43</v>
      </c>
      <c r="C14" s="19" t="s">
        <v>44</v>
      </c>
      <c r="D14" s="4">
        <v>352031.11899999995</v>
      </c>
      <c r="E14" s="4">
        <v>352012.17400000058</v>
      </c>
      <c r="F14" s="4">
        <v>351993.22899999935</v>
      </c>
      <c r="G14" s="4">
        <v>351992.03699999955</v>
      </c>
      <c r="H14" s="4">
        <v>351994.55700000003</v>
      </c>
      <c r="I14" s="4">
        <v>351993.95699999947</v>
      </c>
      <c r="J14" s="4">
        <v>351993.82899999991</v>
      </c>
      <c r="K14" s="4">
        <v>322264.42600000091</v>
      </c>
      <c r="L14" s="4">
        <v>322282.10600000061</v>
      </c>
      <c r="M14" s="4">
        <v>351749.49600000028</v>
      </c>
      <c r="N14" s="4">
        <v>351734.07599999942</v>
      </c>
      <c r="O14" s="4">
        <v>349815.73299999943</v>
      </c>
      <c r="P14" s="4">
        <v>349883.96779999975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75">
      <c r="A15" s="2">
        <v>12</v>
      </c>
      <c r="B15" s="2" t="s">
        <v>45</v>
      </c>
      <c r="C15" s="18" t="s">
        <v>46</v>
      </c>
      <c r="D15" s="4">
        <v>25345.3</v>
      </c>
      <c r="E15" s="4">
        <v>24208.9</v>
      </c>
      <c r="F15" s="4">
        <v>23072.5</v>
      </c>
      <c r="G15" s="4">
        <v>25776.2</v>
      </c>
      <c r="H15" s="4">
        <v>23677.9</v>
      </c>
      <c r="I15" s="4">
        <v>23574</v>
      </c>
      <c r="J15" s="4">
        <v>23574</v>
      </c>
      <c r="K15" s="4">
        <v>23675.4</v>
      </c>
      <c r="L15" s="4">
        <v>23520.7</v>
      </c>
      <c r="M15" s="4">
        <v>23876.400000000001</v>
      </c>
      <c r="N15" s="4">
        <v>23829.200000000001</v>
      </c>
      <c r="O15" s="4">
        <v>23931.9</v>
      </c>
      <c r="P15" s="4">
        <v>24059.599999999999</v>
      </c>
      <c r="Q15" s="1"/>
    </row>
    <row r="16" spans="1:39" x14ac:dyDescent="0.75">
      <c r="A16" s="2">
        <v>13</v>
      </c>
      <c r="B16" s="14" t="s">
        <v>47</v>
      </c>
      <c r="C16" s="18" t="s">
        <v>48</v>
      </c>
      <c r="D16" s="15">
        <v>531109</v>
      </c>
      <c r="E16" s="15">
        <v>419213</v>
      </c>
      <c r="F16" s="15">
        <v>307317</v>
      </c>
      <c r="G16" s="15">
        <v>313173</v>
      </c>
      <c r="H16" s="15">
        <v>338909</v>
      </c>
      <c r="I16" s="15">
        <v>371810</v>
      </c>
      <c r="J16" s="15">
        <v>371810</v>
      </c>
      <c r="K16" s="15">
        <v>374446</v>
      </c>
      <c r="L16" s="15">
        <v>359399</v>
      </c>
      <c r="M16" s="15">
        <v>356270</v>
      </c>
      <c r="N16" s="15">
        <v>358089</v>
      </c>
      <c r="O16" s="15">
        <v>357151</v>
      </c>
      <c r="P16" s="15">
        <v>531266</v>
      </c>
      <c r="Q16" s="1"/>
    </row>
    <row r="17" spans="1:18" x14ac:dyDescent="0.75">
      <c r="A17" s="2">
        <v>14</v>
      </c>
      <c r="B17" s="14" t="s">
        <v>49</v>
      </c>
      <c r="C17" s="19" t="s">
        <v>50</v>
      </c>
      <c r="D17" s="15">
        <v>930069</v>
      </c>
      <c r="E17" s="15">
        <v>931437.5</v>
      </c>
      <c r="F17" s="15">
        <v>932806</v>
      </c>
      <c r="G17" s="15">
        <v>929360</v>
      </c>
      <c r="H17" s="15">
        <v>949786</v>
      </c>
      <c r="I17" s="15">
        <v>900908</v>
      </c>
      <c r="J17" s="15">
        <v>900838</v>
      </c>
      <c r="K17" s="15">
        <v>906111</v>
      </c>
      <c r="L17" s="15">
        <v>860813</v>
      </c>
      <c r="M17" s="15">
        <v>917482</v>
      </c>
      <c r="N17" s="15">
        <v>969770</v>
      </c>
      <c r="O17" s="15">
        <v>978818</v>
      </c>
      <c r="P17" s="15">
        <v>942998</v>
      </c>
      <c r="Q17" s="1"/>
    </row>
    <row r="18" spans="1:18" x14ac:dyDescent="0.75">
      <c r="A18" s="2">
        <v>15</v>
      </c>
      <c r="B18" s="14" t="s">
        <v>51</v>
      </c>
      <c r="C18" s="19" t="s">
        <v>52</v>
      </c>
      <c r="D18" s="15">
        <v>14377</v>
      </c>
      <c r="E18" s="15">
        <v>15367.6</v>
      </c>
      <c r="F18" s="15">
        <v>16358.2</v>
      </c>
      <c r="G18" s="15">
        <v>16721.900000000001</v>
      </c>
      <c r="H18" s="15">
        <v>16803.3</v>
      </c>
      <c r="I18" s="15">
        <v>16880.2</v>
      </c>
      <c r="J18" s="15">
        <v>16880.2</v>
      </c>
      <c r="K18" s="15">
        <v>17184</v>
      </c>
      <c r="L18" s="15">
        <v>16395.8</v>
      </c>
      <c r="M18" s="15">
        <v>17071.599999999999</v>
      </c>
      <c r="N18" s="15">
        <v>16376.6</v>
      </c>
      <c r="O18" s="15">
        <v>18278.400000000001</v>
      </c>
      <c r="P18" s="15">
        <v>21670.799999999999</v>
      </c>
      <c r="Q18" s="1"/>
    </row>
    <row r="19" spans="1:18" x14ac:dyDescent="0.75">
      <c r="A19" s="2">
        <v>16</v>
      </c>
      <c r="B19" s="14" t="s">
        <v>53</v>
      </c>
      <c r="C19" s="19" t="s">
        <v>54</v>
      </c>
      <c r="D19" s="15">
        <v>43462.3</v>
      </c>
      <c r="E19" s="15">
        <v>49012.800000000003</v>
      </c>
      <c r="F19" s="15">
        <v>54563.3</v>
      </c>
      <c r="G19" s="15">
        <v>54563.3</v>
      </c>
      <c r="H19" s="15">
        <v>65249.9</v>
      </c>
      <c r="I19" s="15">
        <v>65378.5</v>
      </c>
      <c r="J19" s="15">
        <v>65378.5</v>
      </c>
      <c r="K19" s="15">
        <v>65760.399999999994</v>
      </c>
      <c r="L19" s="15">
        <v>62139.3</v>
      </c>
      <c r="M19" s="15">
        <v>65070.9</v>
      </c>
      <c r="N19" s="15">
        <v>65343.8</v>
      </c>
      <c r="O19" s="15">
        <v>70691.7</v>
      </c>
      <c r="P19" s="15">
        <v>68599.7</v>
      </c>
      <c r="Q19" s="1"/>
    </row>
    <row r="20" spans="1:18" x14ac:dyDescent="0.75">
      <c r="A20" s="2">
        <v>17</v>
      </c>
      <c r="B20" s="14" t="s">
        <v>55</v>
      </c>
      <c r="C20" s="19" t="s">
        <v>56</v>
      </c>
      <c r="D20" s="15">
        <v>10931.7</v>
      </c>
      <c r="E20" s="15">
        <v>10931.7</v>
      </c>
      <c r="F20" s="15">
        <v>10931.7</v>
      </c>
      <c r="G20" s="15">
        <v>10931.7</v>
      </c>
      <c r="H20" s="15">
        <v>10973.6</v>
      </c>
      <c r="I20" s="15">
        <v>10973.6</v>
      </c>
      <c r="J20" s="15">
        <v>11043.9</v>
      </c>
      <c r="K20" s="15">
        <v>11463.2</v>
      </c>
      <c r="L20" s="15">
        <v>11458.9</v>
      </c>
      <c r="M20" s="15">
        <v>11388.1</v>
      </c>
      <c r="N20" s="15">
        <v>11388.1</v>
      </c>
      <c r="O20" s="15">
        <v>48795.199999999997</v>
      </c>
      <c r="P20" s="15">
        <v>45504.6</v>
      </c>
      <c r="Q20" s="1"/>
    </row>
    <row r="21" spans="1:18" x14ac:dyDescent="0.75">
      <c r="A21" s="2">
        <v>18</v>
      </c>
      <c r="B21" s="14" t="s">
        <v>67</v>
      </c>
      <c r="C21" s="19" t="s">
        <v>68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448.15699999999998</v>
      </c>
      <c r="P21" s="15">
        <v>79.672200000000004</v>
      </c>
      <c r="Q21" s="1"/>
    </row>
    <row r="22" spans="1:18" x14ac:dyDescent="0.75">
      <c r="A22" s="2">
        <v>19</v>
      </c>
      <c r="B22" s="14" t="s">
        <v>57</v>
      </c>
      <c r="C22" s="19" t="s">
        <v>58</v>
      </c>
      <c r="D22" s="15">
        <v>158.70400000000001</v>
      </c>
      <c r="E22" s="15">
        <v>158.70400000000001</v>
      </c>
      <c r="F22" s="15">
        <v>158.70400000000001</v>
      </c>
      <c r="G22" s="15">
        <v>158.70400000000001</v>
      </c>
      <c r="H22" s="15">
        <v>158.70400000000001</v>
      </c>
      <c r="I22" s="15">
        <v>158.70400000000001</v>
      </c>
      <c r="J22" s="15">
        <v>158.70400000000001</v>
      </c>
      <c r="K22" s="15">
        <v>158.70400000000001</v>
      </c>
      <c r="L22" s="15">
        <v>158.70400000000001</v>
      </c>
      <c r="M22" s="15">
        <v>158.70400000000001</v>
      </c>
      <c r="N22" s="15">
        <v>158.70400000000001</v>
      </c>
      <c r="O22" s="15">
        <v>175.21</v>
      </c>
      <c r="P22" s="15">
        <v>175</v>
      </c>
      <c r="Q22" s="1"/>
    </row>
    <row r="23" spans="1:18" x14ac:dyDescent="0.75">
      <c r="A23" s="2">
        <v>20</v>
      </c>
      <c r="B23" s="14" t="s">
        <v>59</v>
      </c>
      <c r="C23" s="19" t="s">
        <v>60</v>
      </c>
      <c r="D23" s="15">
        <v>36638</v>
      </c>
      <c r="E23" s="15">
        <v>41429.599999999999</v>
      </c>
      <c r="F23" s="15">
        <v>46221.2</v>
      </c>
      <c r="G23" s="15">
        <v>46221.2</v>
      </c>
      <c r="H23" s="15">
        <v>46221.2</v>
      </c>
      <c r="I23" s="15">
        <v>46221.2</v>
      </c>
      <c r="J23" s="15">
        <v>46221.2</v>
      </c>
      <c r="K23" s="15">
        <v>46440.4</v>
      </c>
      <c r="L23" s="15">
        <v>46440.4</v>
      </c>
      <c r="M23" s="15">
        <v>46151.8</v>
      </c>
      <c r="N23" s="15">
        <v>45503.7</v>
      </c>
      <c r="O23" s="15">
        <v>26525.599999999999</v>
      </c>
      <c r="P23" s="15">
        <v>25575</v>
      </c>
      <c r="Q23" s="1"/>
    </row>
    <row r="24" spans="1:18" x14ac:dyDescent="0.75">
      <c r="A24" s="2">
        <v>21</v>
      </c>
      <c r="B24" s="14" t="s">
        <v>61</v>
      </c>
      <c r="C24" s="19" t="s">
        <v>62</v>
      </c>
      <c r="D24" s="15">
        <v>394375</v>
      </c>
      <c r="E24" s="15">
        <v>456595.5</v>
      </c>
      <c r="F24" s="15">
        <v>518816</v>
      </c>
      <c r="G24" s="15">
        <v>521051</v>
      </c>
      <c r="H24" s="15">
        <v>527044</v>
      </c>
      <c r="I24" s="15">
        <v>527044</v>
      </c>
      <c r="J24" s="15">
        <v>527034</v>
      </c>
      <c r="K24" s="15">
        <v>530472</v>
      </c>
      <c r="L24" s="15">
        <v>529565</v>
      </c>
      <c r="M24" s="15">
        <v>516113</v>
      </c>
      <c r="N24" s="15">
        <v>554354</v>
      </c>
      <c r="O24" s="15">
        <v>532291</v>
      </c>
      <c r="P24" s="15">
        <v>437538</v>
      </c>
      <c r="Q24" s="1"/>
    </row>
    <row r="25" spans="1:18" x14ac:dyDescent="0.75">
      <c r="B25" s="16"/>
      <c r="C25" s="16"/>
      <c r="D25" s="17">
        <f>SUM(D4:D24)</f>
        <v>4851715</v>
      </c>
      <c r="E25" s="17">
        <f t="shared" ref="E25:P25" si="0">SUM(E4:E24)</f>
        <v>4851715</v>
      </c>
      <c r="F25" s="17">
        <f t="shared" si="0"/>
        <v>4851715</v>
      </c>
      <c r="G25" s="17">
        <f t="shared" si="0"/>
        <v>4851715.0000000009</v>
      </c>
      <c r="H25" s="17">
        <f t="shared" si="0"/>
        <v>4851715</v>
      </c>
      <c r="I25" s="17">
        <f t="shared" si="0"/>
        <v>4851714.9999999991</v>
      </c>
      <c r="J25" s="17">
        <f t="shared" si="0"/>
        <v>4851715</v>
      </c>
      <c r="K25" s="17">
        <f t="shared" si="0"/>
        <v>4851715.0000000009</v>
      </c>
      <c r="L25" s="17">
        <f t="shared" si="0"/>
        <v>4851715.0000000009</v>
      </c>
      <c r="M25" s="17">
        <f t="shared" si="0"/>
        <v>4851714.9999999991</v>
      </c>
      <c r="N25" s="17">
        <f t="shared" si="0"/>
        <v>4851715</v>
      </c>
      <c r="O25" s="17">
        <f t="shared" si="0"/>
        <v>4851714.9999999981</v>
      </c>
      <c r="P25" s="17">
        <f t="shared" si="0"/>
        <v>4851715</v>
      </c>
    </row>
    <row r="26" spans="1:18" x14ac:dyDescent="0.75">
      <c r="D26"/>
    </row>
    <row r="27" spans="1:18" x14ac:dyDescent="0.75">
      <c r="A27" s="169" t="s">
        <v>1</v>
      </c>
      <c r="B27" s="169"/>
      <c r="C27" s="7">
        <v>4851715</v>
      </c>
      <c r="D27"/>
    </row>
    <row r="28" spans="1:18" x14ac:dyDescent="0.75">
      <c r="A28" s="165" t="s">
        <v>44</v>
      </c>
      <c r="B28" s="166"/>
      <c r="C28" s="8" t="s">
        <v>69</v>
      </c>
    </row>
    <row r="29" spans="1:18" x14ac:dyDescent="0.75">
      <c r="D29"/>
    </row>
    <row r="30" spans="1:18" x14ac:dyDescent="0.75">
      <c r="B30" s="20"/>
      <c r="C30" s="22" t="s">
        <v>72</v>
      </c>
      <c r="D30" s="12">
        <f>SUM(D8:D14,D17:D24)</f>
        <v>2411318.6999999997</v>
      </c>
      <c r="E30" s="30">
        <f t="shared" ref="E30:P30" si="1">SUM(E8:E14,E17:E24)</f>
        <v>2586115.1000000006</v>
      </c>
      <c r="F30" s="1">
        <f t="shared" si="1"/>
        <v>2760911.4999999995</v>
      </c>
      <c r="G30" s="1">
        <f t="shared" si="1"/>
        <v>2780823.7999999993</v>
      </c>
      <c r="H30" s="1">
        <f t="shared" si="1"/>
        <v>2828047.1</v>
      </c>
      <c r="I30" s="30">
        <f t="shared" si="1"/>
        <v>2828664</v>
      </c>
      <c r="J30" s="1">
        <f t="shared" si="1"/>
        <v>2828955</v>
      </c>
      <c r="K30" s="1">
        <f t="shared" si="1"/>
        <v>2826782.6000000006</v>
      </c>
      <c r="L30" s="1">
        <f t="shared" si="1"/>
        <v>2874635.3</v>
      </c>
      <c r="M30" s="1">
        <f t="shared" si="1"/>
        <v>2897808.6</v>
      </c>
      <c r="N30" s="1">
        <f t="shared" si="1"/>
        <v>2902727.7999999993</v>
      </c>
      <c r="O30" s="1">
        <f t="shared" si="1"/>
        <v>2937465.1</v>
      </c>
      <c r="P30" s="12">
        <f t="shared" si="1"/>
        <v>2767158.4</v>
      </c>
      <c r="Q30" s="21">
        <f>(P30-D30)/D30</f>
        <v>0.14757058036335066</v>
      </c>
      <c r="R30" s="21">
        <f>Q30/(P3-D3)</f>
        <v>5.0886407021845052E-3</v>
      </c>
    </row>
    <row r="31" spans="1:18" x14ac:dyDescent="0.75">
      <c r="C31" s="22"/>
      <c r="D31" s="21">
        <f>D30/$D$25</f>
        <v>0.49700336891181773</v>
      </c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21">
        <f>P30/$P$25</f>
        <v>0.57034644450467509</v>
      </c>
    </row>
    <row r="32" spans="1:18" x14ac:dyDescent="0.75">
      <c r="B32" s="18"/>
      <c r="C32" s="22" t="s">
        <v>71</v>
      </c>
      <c r="D32" s="1">
        <f>SUM(D4:D7,D15:D16)</f>
        <v>2440396.2999999998</v>
      </c>
      <c r="E32" s="1">
        <f t="shared" ref="E32:P32" si="2">SUM(E4:E7,E15:E16)</f>
        <v>2265599.9</v>
      </c>
      <c r="F32" s="13">
        <f t="shared" si="2"/>
        <v>2090803.5</v>
      </c>
      <c r="G32" s="13">
        <f t="shared" si="2"/>
        <v>2070891.2</v>
      </c>
      <c r="H32" s="13">
        <f t="shared" si="2"/>
        <v>2023667.9</v>
      </c>
      <c r="I32" s="13">
        <f t="shared" si="2"/>
        <v>2023051</v>
      </c>
      <c r="J32" s="13">
        <f t="shared" si="2"/>
        <v>2022760</v>
      </c>
      <c r="K32" s="1">
        <f t="shared" si="2"/>
        <v>2024932.4</v>
      </c>
      <c r="L32" s="1">
        <f t="shared" si="2"/>
        <v>1977079.7</v>
      </c>
      <c r="M32" s="1">
        <f t="shared" si="2"/>
        <v>1953906.4</v>
      </c>
      <c r="N32" s="1">
        <f t="shared" si="2"/>
        <v>1948987.2</v>
      </c>
      <c r="O32" s="1">
        <f t="shared" si="2"/>
        <v>1914249.9</v>
      </c>
      <c r="P32" s="1">
        <f t="shared" si="2"/>
        <v>2084556.6</v>
      </c>
      <c r="Q32" s="21">
        <f>(P32-D32)/D32</f>
        <v>-0.14581226008251191</v>
      </c>
      <c r="R32" s="21">
        <f>Q32/(P3-D3)</f>
        <v>-5.0280089683624801E-3</v>
      </c>
    </row>
    <row r="33" spans="2:16" x14ac:dyDescent="0.75">
      <c r="D33" s="21">
        <f>D32/$D$25</f>
        <v>0.50299663108818216</v>
      </c>
      <c r="F33" s="13"/>
      <c r="G33" s="12"/>
      <c r="H33" s="12"/>
      <c r="I33" s="13"/>
      <c r="P33" s="21">
        <f>P32/$P$25</f>
        <v>0.42965355549532486</v>
      </c>
    </row>
    <row r="34" spans="2:16" x14ac:dyDescent="0.75">
      <c r="F34" s="12"/>
      <c r="G34" s="12"/>
      <c r="H34" s="12"/>
      <c r="I34" s="12"/>
    </row>
    <row r="35" spans="2:16" x14ac:dyDescent="0.75">
      <c r="B35" t="s">
        <v>73</v>
      </c>
      <c r="F35" s="12"/>
      <c r="G35" s="12" t="s">
        <v>76</v>
      </c>
      <c r="H35" s="12"/>
      <c r="I35" s="12"/>
    </row>
    <row r="36" spans="2:16" x14ac:dyDescent="0.75">
      <c r="B36" t="s">
        <v>74</v>
      </c>
      <c r="F36" s="12"/>
      <c r="G36" s="12"/>
      <c r="H36" s="12"/>
      <c r="I36" s="12"/>
    </row>
    <row r="37" spans="2:16" x14ac:dyDescent="0.75">
      <c r="B37" t="s">
        <v>75</v>
      </c>
      <c r="F37" s="12"/>
      <c r="G37" s="12"/>
      <c r="H37" s="12"/>
      <c r="I37" s="12"/>
    </row>
    <row r="38" spans="2:16" x14ac:dyDescent="0.75">
      <c r="F38" s="12"/>
      <c r="G38" s="12"/>
      <c r="H38" s="12"/>
      <c r="I38" s="12"/>
    </row>
    <row r="39" spans="2:16" x14ac:dyDescent="0.75">
      <c r="F39" s="12"/>
      <c r="G39" s="12"/>
      <c r="H39" s="12"/>
      <c r="I39" s="12"/>
    </row>
    <row r="40" spans="2:16" x14ac:dyDescent="0.75">
      <c r="F40" s="12"/>
      <c r="G40" s="12"/>
      <c r="H40" s="12"/>
      <c r="I40" s="12"/>
    </row>
    <row r="41" spans="2:16" x14ac:dyDescent="0.75">
      <c r="F41" s="163">
        <v>1990</v>
      </c>
      <c r="G41" s="163"/>
      <c r="H41" s="163">
        <v>2019</v>
      </c>
      <c r="I41" s="163"/>
      <c r="K41" s="164" t="s">
        <v>82</v>
      </c>
      <c r="L41" s="164"/>
    </row>
    <row r="42" spans="2:16" x14ac:dyDescent="0.75">
      <c r="F42" s="11" t="s">
        <v>80</v>
      </c>
      <c r="G42" s="11" t="s">
        <v>81</v>
      </c>
      <c r="H42" s="11" t="s">
        <v>80</v>
      </c>
      <c r="I42" s="11" t="s">
        <v>81</v>
      </c>
      <c r="K42" s="28" t="s">
        <v>84</v>
      </c>
      <c r="L42" s="29" t="s">
        <v>83</v>
      </c>
    </row>
    <row r="43" spans="2:16" x14ac:dyDescent="0.75">
      <c r="E43" s="23" t="s">
        <v>77</v>
      </c>
      <c r="F43" s="24">
        <f>SUM(D8:D14,D17:D24)</f>
        <v>2411318.6999999997</v>
      </c>
      <c r="G43" s="27">
        <f>100*F43/$F$45</f>
        <v>49.70033689118177</v>
      </c>
      <c r="H43" s="24">
        <f>SUM(P8:P14,P17:P24)</f>
        <v>2767158.4</v>
      </c>
      <c r="I43" s="27">
        <f>100*H43/$H$45</f>
        <v>57.034644450467518</v>
      </c>
      <c r="K43" s="21">
        <f>(I43-G43)/G43</f>
        <v>0.1475705803633508</v>
      </c>
      <c r="L43" s="21">
        <f>K43/(H41-F41)</f>
        <v>5.0886407021845104E-3</v>
      </c>
    </row>
    <row r="44" spans="2:16" x14ac:dyDescent="0.75">
      <c r="E44" s="25" t="s">
        <v>78</v>
      </c>
      <c r="F44" s="26">
        <f>SUM(D4:D7,D15:D16)</f>
        <v>2440396.2999999998</v>
      </c>
      <c r="G44" s="27">
        <f>100*F44/$F$45</f>
        <v>50.299663108818216</v>
      </c>
      <c r="H44" s="26">
        <f>SUM(P4:P7,P15:P16)</f>
        <v>2084556.6</v>
      </c>
      <c r="I44" s="27">
        <f>100*H44/$H$45</f>
        <v>42.965355549532482</v>
      </c>
      <c r="K44" s="21">
        <f>(I44-G44)/G44</f>
        <v>-0.14581226008251194</v>
      </c>
      <c r="L44" s="21">
        <f>K44/(H41-F41)</f>
        <v>-5.028008968362481E-3</v>
      </c>
    </row>
    <row r="45" spans="2:16" x14ac:dyDescent="0.75">
      <c r="E45" t="s">
        <v>79</v>
      </c>
      <c r="F45" s="12">
        <f>SUM(F43:F44)</f>
        <v>4851715</v>
      </c>
      <c r="H45" s="12">
        <f>SUM(H43:H44)</f>
        <v>4851715</v>
      </c>
    </row>
  </sheetData>
  <mergeCells count="10">
    <mergeCell ref="F41:G41"/>
    <mergeCell ref="H41:I41"/>
    <mergeCell ref="K41:L41"/>
    <mergeCell ref="A28:B28"/>
    <mergeCell ref="A1:P1"/>
    <mergeCell ref="A2:A3"/>
    <mergeCell ref="B2:B3"/>
    <mergeCell ref="C2:C3"/>
    <mergeCell ref="D2:P2"/>
    <mergeCell ref="A27:B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47"/>
  <sheetViews>
    <sheetView zoomScale="80" zoomScaleNormal="80" workbookViewId="0">
      <selection activeCell="C27" sqref="C27"/>
    </sheetView>
  </sheetViews>
  <sheetFormatPr defaultRowHeight="14.75" x14ac:dyDescent="0.75"/>
  <cols>
    <col min="3" max="3" width="26.453125" bestFit="1" customWidth="1"/>
    <col min="4" max="16" width="10.36328125" customWidth="1"/>
  </cols>
  <sheetData>
    <row r="2" spans="3:22" x14ac:dyDescent="0.75">
      <c r="C2" t="s">
        <v>101</v>
      </c>
      <c r="D2" s="57">
        <f>'Lc_Infor (2)'!D3</f>
        <v>1990</v>
      </c>
      <c r="E2" s="57">
        <f>'Lc_Infor (2)'!E3</f>
        <v>1996</v>
      </c>
      <c r="F2" s="57">
        <f>'Lc_Infor (2)'!F3</f>
        <v>2000</v>
      </c>
      <c r="G2" s="57">
        <f>'Lc_Infor (2)'!G3</f>
        <v>2003</v>
      </c>
      <c r="H2" s="57">
        <f>'Lc_Infor (2)'!H3</f>
        <v>2006</v>
      </c>
      <c r="I2" s="57">
        <f>'Lc_Infor (2)'!I3</f>
        <v>2009</v>
      </c>
      <c r="J2" s="57">
        <f>'Lc_Infor (2)'!J3</f>
        <v>2011</v>
      </c>
      <c r="K2" s="57">
        <f>'Lc_Infor (2)'!K3</f>
        <v>2014</v>
      </c>
      <c r="L2" s="57">
        <f>'Lc_Infor (2)'!L3</f>
        <v>2015</v>
      </c>
      <c r="M2" s="57">
        <f>'Lc_Infor (2)'!M3</f>
        <v>2016</v>
      </c>
      <c r="N2" s="57">
        <f>'Lc_Infor (2)'!N3</f>
        <v>2017</v>
      </c>
      <c r="O2" s="57">
        <f>'Lc_Infor (2)'!O3</f>
        <v>2018</v>
      </c>
      <c r="P2" s="57">
        <f>'Lc_Infor (2)'!P3</f>
        <v>2019</v>
      </c>
    </row>
    <row r="3" spans="3:22" x14ac:dyDescent="0.75">
      <c r="C3" t="s">
        <v>85</v>
      </c>
      <c r="D3" s="58">
        <f>'Lc_Infor (2)'!D30</f>
        <v>2411318.6999999997</v>
      </c>
      <c r="E3" s="58">
        <f>'Lc_Infor (2)'!E30</f>
        <v>2586115.1000000006</v>
      </c>
      <c r="F3" s="58">
        <f>'Lc_Infor (2)'!F30</f>
        <v>2760911.4999999995</v>
      </c>
      <c r="G3" s="58">
        <f>'Lc_Infor (2)'!G30</f>
        <v>2780823.7999999993</v>
      </c>
      <c r="H3" s="58">
        <f>'Lc_Infor (2)'!H30</f>
        <v>2828047.1</v>
      </c>
      <c r="I3" s="58">
        <f>'Lc_Infor (2)'!I30</f>
        <v>2828664</v>
      </c>
      <c r="J3" s="58">
        <f>'Lc_Infor (2)'!J30</f>
        <v>2828955</v>
      </c>
      <c r="K3" s="58">
        <f>'Lc_Infor (2)'!K30</f>
        <v>2826782.6000000006</v>
      </c>
      <c r="L3" s="58">
        <f>'Lc_Infor (2)'!L30</f>
        <v>2874635.3</v>
      </c>
      <c r="M3" s="58">
        <f>'Lc_Infor (2)'!M30</f>
        <v>2897808.6</v>
      </c>
      <c r="N3" s="58">
        <f>'Lc_Infor (2)'!N30</f>
        <v>2902727.7999999993</v>
      </c>
      <c r="O3" s="58">
        <f>'Lc_Infor (2)'!O30</f>
        <v>2937465.1</v>
      </c>
      <c r="P3" s="58">
        <f>'Lc_Infor (2)'!P30</f>
        <v>2767158.4</v>
      </c>
    </row>
    <row r="4" spans="3:22" x14ac:dyDescent="0.75">
      <c r="C4" t="s">
        <v>86</v>
      </c>
      <c r="D4" s="58">
        <f>'Lc_Infor (2)'!D32</f>
        <v>2440396.2999999998</v>
      </c>
      <c r="E4" s="58">
        <f>'Lc_Infor (2)'!E32</f>
        <v>2265599.9</v>
      </c>
      <c r="F4" s="58">
        <f>'Lc_Infor (2)'!F32</f>
        <v>2090803.5</v>
      </c>
      <c r="G4" s="58">
        <f>'Lc_Infor (2)'!G32</f>
        <v>2070891.2</v>
      </c>
      <c r="H4" s="58">
        <f>'Lc_Infor (2)'!H32</f>
        <v>2023667.9</v>
      </c>
      <c r="I4" s="58">
        <f>'Lc_Infor (2)'!I32</f>
        <v>2023051</v>
      </c>
      <c r="J4" s="58">
        <f>'Lc_Infor (2)'!J32</f>
        <v>2022760</v>
      </c>
      <c r="K4" s="58">
        <f>'Lc_Infor (2)'!K32</f>
        <v>2024932.4</v>
      </c>
      <c r="L4" s="58">
        <f>'Lc_Infor (2)'!L32</f>
        <v>1977079.7</v>
      </c>
      <c r="M4" s="58">
        <f>'Lc_Infor (2)'!M32</f>
        <v>1953906.4</v>
      </c>
      <c r="N4" s="58">
        <f>'Lc_Infor (2)'!N32</f>
        <v>1948987.2</v>
      </c>
      <c r="O4" s="58">
        <f>'Lc_Infor (2)'!O32</f>
        <v>1914249.9</v>
      </c>
      <c r="P4" s="58">
        <f>'Lc_Infor (2)'!P32</f>
        <v>2084556.6</v>
      </c>
    </row>
    <row r="5" spans="3:22" x14ac:dyDescent="0.7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7" spans="3:22" x14ac:dyDescent="0.75">
      <c r="C7" s="35" t="s">
        <v>87</v>
      </c>
    </row>
    <row r="8" spans="3:22" ht="15.5" thickBot="1" x14ac:dyDescent="0.9">
      <c r="C8" t="s">
        <v>102</v>
      </c>
    </row>
    <row r="9" spans="3:22" ht="30.25" thickBot="1" x14ac:dyDescent="0.9">
      <c r="C9" s="32"/>
      <c r="D9" s="34" t="s">
        <v>85</v>
      </c>
      <c r="E9" s="34" t="s">
        <v>86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3:22" x14ac:dyDescent="0.75">
      <c r="C10" t="s">
        <v>88</v>
      </c>
      <c r="D10">
        <v>2787031.7692307699</v>
      </c>
      <c r="E10">
        <v>2064683.2307692305</v>
      </c>
      <c r="I10" s="37"/>
      <c r="J10" s="38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40"/>
      <c r="V10" s="37"/>
    </row>
    <row r="11" spans="3:22" x14ac:dyDescent="0.75">
      <c r="C11" t="s">
        <v>89</v>
      </c>
      <c r="D11">
        <v>20446533809.94397</v>
      </c>
      <c r="E11">
        <v>20446533809.94397</v>
      </c>
      <c r="I11" s="37"/>
      <c r="J11" s="41"/>
      <c r="K11" s="16"/>
      <c r="L11" s="16"/>
      <c r="M11" s="16"/>
      <c r="N11" s="16"/>
      <c r="O11" s="42"/>
      <c r="P11" s="43"/>
      <c r="Q11" s="16"/>
      <c r="R11" s="16"/>
      <c r="S11" s="16"/>
      <c r="T11" s="16"/>
      <c r="U11" s="44"/>
      <c r="V11" s="37"/>
    </row>
    <row r="12" spans="3:22" x14ac:dyDescent="0.75">
      <c r="C12" t="s">
        <v>90</v>
      </c>
      <c r="D12">
        <v>13</v>
      </c>
      <c r="E12">
        <v>13</v>
      </c>
      <c r="I12" s="37"/>
      <c r="J12" s="41"/>
      <c r="K12" s="16"/>
      <c r="L12" s="16"/>
      <c r="M12" s="16"/>
      <c r="N12" s="16"/>
      <c r="O12" s="42"/>
      <c r="P12" s="43"/>
      <c r="Q12" s="16"/>
      <c r="R12" s="16"/>
      <c r="S12" s="16"/>
      <c r="T12" s="16"/>
      <c r="U12" s="44"/>
      <c r="V12" s="37"/>
    </row>
    <row r="13" spans="3:22" x14ac:dyDescent="0.75">
      <c r="C13" t="s">
        <v>91</v>
      </c>
      <c r="D13">
        <v>-1.0000000000000004</v>
      </c>
      <c r="I13" s="37"/>
      <c r="J13" s="41"/>
      <c r="K13" s="16"/>
      <c r="L13" s="16"/>
      <c r="M13" s="16"/>
      <c r="N13" s="16"/>
      <c r="O13" s="42"/>
      <c r="P13" s="43"/>
      <c r="Q13" s="16"/>
      <c r="R13" s="16"/>
      <c r="S13" s="16"/>
      <c r="T13" s="16"/>
      <c r="U13" s="44"/>
      <c r="V13" s="37"/>
    </row>
    <row r="14" spans="3:22" x14ac:dyDescent="0.75">
      <c r="C14" t="s">
        <v>92</v>
      </c>
      <c r="D14">
        <v>0</v>
      </c>
      <c r="I14" s="37"/>
      <c r="J14" s="41"/>
      <c r="K14" s="16"/>
      <c r="L14" s="16"/>
      <c r="M14" s="16"/>
      <c r="N14" s="16"/>
      <c r="O14" s="42"/>
      <c r="P14" s="43"/>
      <c r="Q14" s="16"/>
      <c r="R14" s="16"/>
      <c r="S14" s="16"/>
      <c r="T14" s="16"/>
      <c r="U14" s="44"/>
      <c r="V14" s="37"/>
    </row>
    <row r="15" spans="3:22" x14ac:dyDescent="0.75">
      <c r="C15" t="s">
        <v>93</v>
      </c>
      <c r="D15">
        <v>12</v>
      </c>
      <c r="I15" s="37"/>
      <c r="J15" s="41"/>
      <c r="K15" s="170" t="s">
        <v>105</v>
      </c>
      <c r="L15" s="170"/>
      <c r="M15" s="16"/>
      <c r="N15" s="16"/>
      <c r="O15" s="171" t="s">
        <v>106</v>
      </c>
      <c r="P15" s="172"/>
      <c r="Q15" s="16"/>
      <c r="R15" s="16"/>
      <c r="S15" s="170" t="s">
        <v>105</v>
      </c>
      <c r="T15" s="170"/>
      <c r="U15" s="44"/>
      <c r="V15" s="37"/>
    </row>
    <row r="16" spans="3:22" x14ac:dyDescent="0.75">
      <c r="C16" t="s">
        <v>94</v>
      </c>
      <c r="D16" s="33">
        <v>9.1070690915967276</v>
      </c>
      <c r="I16" s="37"/>
      <c r="J16" s="41"/>
      <c r="K16" s="170"/>
      <c r="L16" s="170"/>
      <c r="M16" s="16"/>
      <c r="N16" s="16"/>
      <c r="O16" s="171"/>
      <c r="P16" s="172"/>
      <c r="Q16" s="16"/>
      <c r="R16" s="16"/>
      <c r="S16" s="170"/>
      <c r="T16" s="170"/>
      <c r="U16" s="44"/>
      <c r="V16" s="37"/>
    </row>
    <row r="17" spans="2:22" x14ac:dyDescent="0.75">
      <c r="C17" t="s">
        <v>95</v>
      </c>
      <c r="D17">
        <v>4.8714619268614806E-7</v>
      </c>
      <c r="I17" s="37"/>
      <c r="J17" s="41"/>
      <c r="K17" s="16"/>
      <c r="L17" s="45"/>
      <c r="M17" s="16"/>
      <c r="N17" s="16"/>
      <c r="O17" s="42"/>
      <c r="P17" s="43"/>
      <c r="Q17" s="16"/>
      <c r="R17" s="16"/>
      <c r="S17" s="16"/>
      <c r="T17" s="45"/>
      <c r="U17" s="44"/>
      <c r="V17" s="37"/>
    </row>
    <row r="18" spans="2:22" ht="15.5" thickBot="1" x14ac:dyDescent="0.9">
      <c r="C18" t="s">
        <v>96</v>
      </c>
      <c r="D18">
        <v>1.7822875556493194</v>
      </c>
      <c r="I18" s="37"/>
      <c r="J18" s="41"/>
      <c r="K18" s="46"/>
      <c r="L18" s="47"/>
      <c r="M18" s="16"/>
      <c r="N18" s="16"/>
      <c r="O18" s="42"/>
      <c r="P18" s="43"/>
      <c r="Q18" s="16"/>
      <c r="R18" s="16"/>
      <c r="S18" s="46"/>
      <c r="T18" s="47"/>
      <c r="U18" s="44"/>
      <c r="V18" s="37"/>
    </row>
    <row r="19" spans="2:22" x14ac:dyDescent="0.75">
      <c r="C19" t="s">
        <v>97</v>
      </c>
      <c r="D19">
        <v>9.7429238537229612E-7</v>
      </c>
      <c r="I19" s="37"/>
      <c r="J19" s="41"/>
      <c r="K19" s="48"/>
      <c r="L19" s="48"/>
      <c r="M19" s="16"/>
      <c r="N19" s="16"/>
      <c r="O19" s="42"/>
      <c r="P19" s="43"/>
      <c r="Q19" s="16"/>
      <c r="R19" s="16"/>
      <c r="S19" s="48"/>
      <c r="T19" s="48"/>
      <c r="U19" s="44"/>
      <c r="V19" s="37"/>
    </row>
    <row r="20" spans="2:22" ht="15.5" thickBot="1" x14ac:dyDescent="0.9">
      <c r="C20" s="31" t="s">
        <v>98</v>
      </c>
      <c r="D20" s="36">
        <v>2.1788128296672284</v>
      </c>
      <c r="E20" s="31"/>
      <c r="I20" s="37"/>
      <c r="J20" s="41"/>
      <c r="K20" s="48"/>
      <c r="L20" s="48"/>
      <c r="M20" s="16"/>
      <c r="N20" s="16"/>
      <c r="O20" s="42"/>
      <c r="P20" s="43"/>
      <c r="Q20" s="16"/>
      <c r="R20" s="16"/>
      <c r="S20" s="48"/>
      <c r="T20" s="48"/>
      <c r="U20" s="44"/>
      <c r="V20" s="37"/>
    </row>
    <row r="21" spans="2:22" x14ac:dyDescent="0.75">
      <c r="B21" s="22" t="s">
        <v>103</v>
      </c>
      <c r="C21" t="s">
        <v>99</v>
      </c>
      <c r="I21" s="37"/>
      <c r="J21" s="41"/>
      <c r="K21" s="48"/>
      <c r="L21" s="48"/>
      <c r="M21" s="16"/>
      <c r="N21" s="16"/>
      <c r="O21" s="42"/>
      <c r="P21" s="43"/>
      <c r="Q21" s="16"/>
      <c r="R21" s="16"/>
      <c r="S21" s="48"/>
      <c r="T21" s="48"/>
      <c r="U21" s="44"/>
      <c r="V21" s="37"/>
    </row>
    <row r="22" spans="2:22" x14ac:dyDescent="0.75">
      <c r="B22" s="22" t="s">
        <v>104</v>
      </c>
      <c r="C22" t="s">
        <v>100</v>
      </c>
      <c r="I22" s="37"/>
      <c r="J22" s="41"/>
      <c r="K22" s="49"/>
      <c r="L22" s="49"/>
      <c r="M22" s="50"/>
      <c r="N22" s="50"/>
      <c r="O22" s="51"/>
      <c r="P22" s="52"/>
      <c r="Q22" s="50"/>
      <c r="R22" s="50"/>
      <c r="S22" s="49"/>
      <c r="T22" s="49"/>
      <c r="U22" s="44"/>
      <c r="V22" s="37"/>
    </row>
    <row r="23" spans="2:22" x14ac:dyDescent="0.75">
      <c r="I23" s="37"/>
      <c r="J23" s="41"/>
      <c r="K23" s="16"/>
      <c r="L23" s="53"/>
      <c r="M23" s="16"/>
      <c r="N23" s="53"/>
      <c r="O23" s="16"/>
      <c r="P23" s="53"/>
      <c r="Q23" s="16"/>
      <c r="R23" s="53"/>
      <c r="S23" s="16"/>
      <c r="T23" s="53"/>
      <c r="U23" s="44"/>
      <c r="V23" s="37"/>
    </row>
    <row r="24" spans="2:22" ht="16" x14ac:dyDescent="0.8">
      <c r="C24" t="str">
        <f>"Karena "&amp;C16&amp;"="&amp;TEXT(D16,"0.000")&amp;" "&amp;IF(D16&gt;D20," &gt; "," &lt; ")&amp;C20&amp;"="&amp;TEXT(D20,"0.000")&amp;", Maka "&amp;IF(D16&gt;D20,"Ho DITOLAK dan H1 DITERIMA","Ho DITERIMA""")</f>
        <v>Karena t Stat=9.107  &gt; t Critical two-tail=2.179, Maka Ho DITOLAK dan H1 DITERIMA</v>
      </c>
      <c r="I24" s="37"/>
      <c r="J24" s="41"/>
      <c r="K24" s="173">
        <f>-S24</f>
        <v>-9.1070690915967276</v>
      </c>
      <c r="L24" s="174"/>
      <c r="M24" s="173">
        <f>-Q24</f>
        <v>-2.1788128296672284</v>
      </c>
      <c r="N24" s="174"/>
      <c r="O24" s="174">
        <v>0</v>
      </c>
      <c r="P24" s="174"/>
      <c r="Q24" s="173">
        <f>D20</f>
        <v>2.1788128296672284</v>
      </c>
      <c r="R24" s="174"/>
      <c r="S24" s="173">
        <f>D16</f>
        <v>9.1070690915967276</v>
      </c>
      <c r="T24" s="174"/>
      <c r="U24" s="44"/>
      <c r="V24" s="37"/>
    </row>
    <row r="25" spans="2:22" ht="15.5" thickBot="1" x14ac:dyDescent="0.9">
      <c r="C25" t="str">
        <f>"Kesimpulan : "&amp;IF(D16&gt;D20,C22,C21)</f>
        <v>Kesimpulan : ADA PERUBAHAN SIGNIFIKAN</v>
      </c>
      <c r="I25" s="37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6"/>
      <c r="V25" s="37"/>
    </row>
    <row r="26" spans="2:22" x14ac:dyDescent="0.75"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8" spans="2:22" x14ac:dyDescent="0.75">
      <c r="C28" s="35" t="s">
        <v>107</v>
      </c>
    </row>
    <row r="29" spans="2:22" ht="15.5" thickBot="1" x14ac:dyDescent="0.9">
      <c r="C29" t="s">
        <v>102</v>
      </c>
    </row>
    <row r="30" spans="2:22" ht="30.25" thickBot="1" x14ac:dyDescent="0.9">
      <c r="C30" s="32"/>
      <c r="D30" s="34" t="s">
        <v>85</v>
      </c>
      <c r="E30" s="34" t="s">
        <v>86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2:22" x14ac:dyDescent="0.75">
      <c r="C31" t="s">
        <v>88</v>
      </c>
      <c r="D31">
        <v>2787031.7692307699</v>
      </c>
      <c r="E31">
        <v>2064683.2307692305</v>
      </c>
      <c r="I31" s="37"/>
      <c r="J31" s="38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40"/>
      <c r="V31" s="37"/>
    </row>
    <row r="32" spans="2:22" x14ac:dyDescent="0.75">
      <c r="C32" t="s">
        <v>89</v>
      </c>
      <c r="D32">
        <v>20446533809.944</v>
      </c>
      <c r="E32">
        <v>20446533809.94397</v>
      </c>
      <c r="I32" s="37"/>
      <c r="J32" s="41"/>
      <c r="K32" s="16"/>
      <c r="L32" s="16"/>
      <c r="M32" s="16"/>
      <c r="N32" s="16"/>
      <c r="O32" s="42"/>
      <c r="P32" s="43"/>
      <c r="Q32" s="16"/>
      <c r="R32" s="16"/>
      <c r="S32" s="16"/>
      <c r="T32" s="16"/>
      <c r="U32" s="44"/>
      <c r="V32" s="37"/>
    </row>
    <row r="33" spans="2:22" x14ac:dyDescent="0.75">
      <c r="C33" t="s">
        <v>90</v>
      </c>
      <c r="D33">
        <v>13</v>
      </c>
      <c r="E33">
        <v>13</v>
      </c>
      <c r="I33" s="37"/>
      <c r="J33" s="41"/>
      <c r="K33" s="16"/>
      <c r="L33" s="16"/>
      <c r="M33" s="16"/>
      <c r="N33" s="16"/>
      <c r="O33" s="42"/>
      <c r="P33" s="43"/>
      <c r="Q33" s="16"/>
      <c r="R33" s="16"/>
      <c r="S33" s="16"/>
      <c r="T33" s="16"/>
      <c r="U33" s="44"/>
      <c r="V33" s="37"/>
    </row>
    <row r="34" spans="2:22" x14ac:dyDescent="0.75">
      <c r="C34" t="s">
        <v>93</v>
      </c>
      <c r="D34">
        <v>12</v>
      </c>
      <c r="E34">
        <v>12</v>
      </c>
      <c r="I34" s="37"/>
      <c r="J34" s="41"/>
      <c r="K34" s="16"/>
      <c r="L34" s="16"/>
      <c r="M34" s="16"/>
      <c r="N34" s="16"/>
      <c r="O34" s="42"/>
      <c r="P34" s="43"/>
      <c r="Q34" s="16"/>
      <c r="R34" s="16"/>
      <c r="S34" s="16"/>
      <c r="T34" s="16"/>
      <c r="U34" s="44"/>
      <c r="V34" s="37"/>
    </row>
    <row r="35" spans="2:22" x14ac:dyDescent="0.75">
      <c r="C35" t="s">
        <v>78</v>
      </c>
      <c r="D35" s="33">
        <v>1</v>
      </c>
      <c r="I35" s="37"/>
      <c r="J35" s="41"/>
      <c r="K35" s="16"/>
      <c r="L35" s="16"/>
      <c r="M35" s="16"/>
      <c r="N35" s="16"/>
      <c r="O35" s="42"/>
      <c r="P35" s="43"/>
      <c r="Q35" s="16"/>
      <c r="R35" s="16"/>
      <c r="S35" s="16"/>
      <c r="T35" s="16"/>
      <c r="U35" s="44"/>
      <c r="V35" s="37"/>
    </row>
    <row r="36" spans="2:22" x14ac:dyDescent="0.75">
      <c r="C36" t="s">
        <v>108</v>
      </c>
      <c r="D36">
        <v>0.5</v>
      </c>
      <c r="I36" s="37"/>
      <c r="J36" s="41"/>
      <c r="K36" s="170" t="s">
        <v>105</v>
      </c>
      <c r="L36" s="170"/>
      <c r="M36" s="16"/>
      <c r="N36" s="16"/>
      <c r="O36" s="171" t="s">
        <v>106</v>
      </c>
      <c r="P36" s="172"/>
      <c r="Q36" s="16"/>
      <c r="R36" s="16"/>
      <c r="S36" s="170" t="s">
        <v>105</v>
      </c>
      <c r="T36" s="170"/>
      <c r="U36" s="44"/>
      <c r="V36" s="37"/>
    </row>
    <row r="37" spans="2:22" ht="15.5" thickBot="1" x14ac:dyDescent="0.9">
      <c r="C37" s="31" t="s">
        <v>109</v>
      </c>
      <c r="D37" s="36">
        <v>0.37221253117845698</v>
      </c>
      <c r="E37" s="31"/>
      <c r="I37" s="37"/>
      <c r="J37" s="41"/>
      <c r="K37" s="170"/>
      <c r="L37" s="170"/>
      <c r="M37" s="16"/>
      <c r="N37" s="16"/>
      <c r="O37" s="171"/>
      <c r="P37" s="172"/>
      <c r="Q37" s="16"/>
      <c r="R37" s="16"/>
      <c r="S37" s="170"/>
      <c r="T37" s="170"/>
      <c r="U37" s="44"/>
      <c r="V37" s="37"/>
    </row>
    <row r="38" spans="2:22" x14ac:dyDescent="0.75">
      <c r="B38" s="22" t="s">
        <v>103</v>
      </c>
      <c r="C38" t="s">
        <v>99</v>
      </c>
      <c r="I38" s="37"/>
      <c r="J38" s="41"/>
      <c r="K38" s="16"/>
      <c r="L38" s="45"/>
      <c r="M38" s="16"/>
      <c r="N38" s="16"/>
      <c r="O38" s="42"/>
      <c r="P38" s="43"/>
      <c r="Q38" s="16"/>
      <c r="R38" s="16"/>
      <c r="S38" s="16"/>
      <c r="T38" s="45"/>
      <c r="U38" s="44"/>
      <c r="V38" s="37"/>
    </row>
    <row r="39" spans="2:22" ht="15.5" thickBot="1" x14ac:dyDescent="0.9">
      <c r="B39" s="22" t="s">
        <v>104</v>
      </c>
      <c r="C39" t="s">
        <v>100</v>
      </c>
      <c r="I39" s="37"/>
      <c r="J39" s="41"/>
      <c r="K39" s="46"/>
      <c r="L39" s="47"/>
      <c r="M39" s="16"/>
      <c r="N39" s="16"/>
      <c r="O39" s="42"/>
      <c r="P39" s="43"/>
      <c r="Q39" s="16"/>
      <c r="R39" s="16"/>
      <c r="S39" s="46"/>
      <c r="T39" s="47"/>
      <c r="U39" s="44"/>
      <c r="V39" s="37"/>
    </row>
    <row r="40" spans="2:22" x14ac:dyDescent="0.75">
      <c r="I40" s="37"/>
      <c r="J40" s="41"/>
      <c r="K40" s="48"/>
      <c r="L40" s="48"/>
      <c r="M40" s="16"/>
      <c r="N40" s="16"/>
      <c r="O40" s="42"/>
      <c r="P40" s="43"/>
      <c r="Q40" s="16"/>
      <c r="R40" s="16"/>
      <c r="S40" s="48"/>
      <c r="T40" s="48"/>
      <c r="U40" s="44"/>
      <c r="V40" s="37"/>
    </row>
    <row r="41" spans="2:22" x14ac:dyDescent="0.75">
      <c r="C41" t="str">
        <f>"Karena "&amp;C35&amp;"="&amp;TEXT(D35,"0.000")&amp;" "&amp;IF(D35&gt;D37," &gt; "," &lt; ")&amp;C37&amp;"="&amp;TEXT(D37,"0.000")&amp;", Maka "&amp;IF(D35&gt;D37,"Ho DITOLAK dan H1 DITERIMA","Ho DITERIMA""")</f>
        <v>Karena F=1.000  &gt; F Critical one-tail=0.372, Maka Ho DITOLAK dan H1 DITERIMA</v>
      </c>
      <c r="I41" s="37"/>
      <c r="J41" s="41"/>
      <c r="K41" s="48"/>
      <c r="L41" s="48"/>
      <c r="M41" s="16"/>
      <c r="N41" s="16"/>
      <c r="O41" s="42"/>
      <c r="P41" s="43"/>
      <c r="Q41" s="16"/>
      <c r="R41" s="16"/>
      <c r="S41" s="48"/>
      <c r="T41" s="48"/>
      <c r="U41" s="44"/>
      <c r="V41" s="37"/>
    </row>
    <row r="42" spans="2:22" x14ac:dyDescent="0.75">
      <c r="C42" t="str">
        <f>"Kesimpulan : "&amp;IF(D35&gt;D37,C39,C38)</f>
        <v>Kesimpulan : ADA PERUBAHAN SIGNIFIKAN</v>
      </c>
      <c r="I42" s="37"/>
      <c r="J42" s="41"/>
      <c r="K42" s="48"/>
      <c r="L42" s="48"/>
      <c r="M42" s="16"/>
      <c r="N42" s="16"/>
      <c r="O42" s="42"/>
      <c r="P42" s="43"/>
      <c r="Q42" s="16"/>
      <c r="R42" s="16"/>
      <c r="S42" s="48"/>
      <c r="T42" s="48"/>
      <c r="U42" s="44"/>
      <c r="V42" s="37"/>
    </row>
    <row r="43" spans="2:22" x14ac:dyDescent="0.75">
      <c r="I43" s="37"/>
      <c r="J43" s="41"/>
      <c r="K43" s="49"/>
      <c r="L43" s="49"/>
      <c r="M43" s="50"/>
      <c r="N43" s="50"/>
      <c r="O43" s="51"/>
      <c r="P43" s="52"/>
      <c r="Q43" s="50"/>
      <c r="R43" s="50"/>
      <c r="S43" s="49"/>
      <c r="T43" s="49"/>
      <c r="U43" s="44"/>
      <c r="V43" s="37"/>
    </row>
    <row r="44" spans="2:22" x14ac:dyDescent="0.75">
      <c r="I44" s="37"/>
      <c r="J44" s="41"/>
      <c r="K44" s="16"/>
      <c r="L44" s="53"/>
      <c r="M44" s="16"/>
      <c r="N44" s="53"/>
      <c r="O44" s="16"/>
      <c r="P44" s="53"/>
      <c r="Q44" s="16"/>
      <c r="R44" s="53"/>
      <c r="S44" s="16"/>
      <c r="T44" s="53"/>
      <c r="U44" s="44"/>
      <c r="V44" s="37"/>
    </row>
    <row r="45" spans="2:22" ht="16" x14ac:dyDescent="0.8">
      <c r="I45" s="37"/>
      <c r="J45" s="41"/>
      <c r="K45" s="173">
        <f>-S45</f>
        <v>-1</v>
      </c>
      <c r="L45" s="174"/>
      <c r="M45" s="173">
        <f>-Q45</f>
        <v>-0.37221253117845698</v>
      </c>
      <c r="N45" s="174"/>
      <c r="O45" s="174">
        <v>0</v>
      </c>
      <c r="P45" s="174"/>
      <c r="Q45" s="173">
        <f>D37</f>
        <v>0.37221253117845698</v>
      </c>
      <c r="R45" s="174"/>
      <c r="S45" s="173">
        <f>D35</f>
        <v>1</v>
      </c>
      <c r="T45" s="174"/>
      <c r="U45" s="44"/>
      <c r="V45" s="37"/>
    </row>
    <row r="46" spans="2:22" ht="15.5" thickBot="1" x14ac:dyDescent="0.9">
      <c r="I46" s="37"/>
      <c r="J46" s="54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6"/>
      <c r="V46" s="37"/>
    </row>
    <row r="47" spans="2:22" x14ac:dyDescent="0.75"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</row>
  </sheetData>
  <mergeCells count="16">
    <mergeCell ref="K36:L37"/>
    <mergeCell ref="O36:P37"/>
    <mergeCell ref="S36:T37"/>
    <mergeCell ref="K45:L45"/>
    <mergeCell ref="M45:N45"/>
    <mergeCell ref="O45:P45"/>
    <mergeCell ref="Q45:R45"/>
    <mergeCell ref="S45:T45"/>
    <mergeCell ref="K15:L16"/>
    <mergeCell ref="O15:P16"/>
    <mergeCell ref="S15:T16"/>
    <mergeCell ref="K24:L24"/>
    <mergeCell ref="M24:N24"/>
    <mergeCell ref="O24:P24"/>
    <mergeCell ref="Q24:R24"/>
    <mergeCell ref="S24:T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45"/>
  <sheetViews>
    <sheetView topLeftCell="A28" zoomScale="108" zoomScaleNormal="108" workbookViewId="0">
      <selection activeCell="C27" sqref="C27"/>
    </sheetView>
  </sheetViews>
  <sheetFormatPr defaultRowHeight="14.75" x14ac:dyDescent="0.75"/>
  <cols>
    <col min="1" max="1" width="4" bestFit="1" customWidth="1"/>
    <col min="2" max="2" width="32.1796875" bestFit="1" customWidth="1"/>
    <col min="3" max="3" width="28.453125" customWidth="1"/>
    <col min="4" max="4" width="11.54296875" style="1" customWidth="1"/>
    <col min="5" max="5" width="10.90625" customWidth="1"/>
    <col min="6" max="6" width="11.90625" customWidth="1"/>
    <col min="7" max="8" width="11.81640625" customWidth="1"/>
    <col min="9" max="9" width="12.1796875" customWidth="1"/>
    <col min="10" max="10" width="11.1796875" customWidth="1"/>
    <col min="11" max="11" width="10.90625" customWidth="1"/>
    <col min="12" max="12" width="11.08984375" customWidth="1"/>
    <col min="13" max="13" width="11.81640625" customWidth="1"/>
    <col min="14" max="14" width="10.1796875" bestFit="1" customWidth="1"/>
    <col min="15" max="15" width="11.81640625" customWidth="1"/>
    <col min="16" max="16" width="12.81640625" bestFit="1" customWidth="1"/>
    <col min="17" max="27" width="12.453125" bestFit="1" customWidth="1"/>
    <col min="28" max="29" width="13.1796875" bestFit="1" customWidth="1"/>
    <col min="30" max="34" width="11" bestFit="1" customWidth="1"/>
  </cols>
  <sheetData>
    <row r="1" spans="1:39" x14ac:dyDescent="0.75">
      <c r="A1" s="167" t="s">
        <v>24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</row>
    <row r="2" spans="1:39" x14ac:dyDescent="0.75">
      <c r="A2" s="168" t="s">
        <v>3</v>
      </c>
      <c r="B2" s="168" t="s">
        <v>63</v>
      </c>
      <c r="C2" s="168" t="s">
        <v>64</v>
      </c>
      <c r="D2" s="168" t="s">
        <v>70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39" x14ac:dyDescent="0.75">
      <c r="A3" s="168"/>
      <c r="B3" s="168"/>
      <c r="C3" s="168"/>
      <c r="D3" s="9">
        <v>1990</v>
      </c>
      <c r="E3" s="10">
        <v>1996</v>
      </c>
      <c r="F3" s="10">
        <v>2000</v>
      </c>
      <c r="G3" s="10">
        <v>2003</v>
      </c>
      <c r="H3" s="10">
        <v>2006</v>
      </c>
      <c r="I3" s="10">
        <v>2009</v>
      </c>
      <c r="J3" s="10">
        <v>2011</v>
      </c>
      <c r="K3" s="10">
        <v>2014</v>
      </c>
      <c r="L3" s="10">
        <v>2015</v>
      </c>
      <c r="M3" s="10">
        <v>2016</v>
      </c>
      <c r="N3" s="10">
        <v>2017</v>
      </c>
      <c r="O3" s="10">
        <v>2018</v>
      </c>
      <c r="P3" s="10">
        <v>2019</v>
      </c>
    </row>
    <row r="4" spans="1:39" x14ac:dyDescent="0.75">
      <c r="A4" s="2">
        <v>1</v>
      </c>
      <c r="B4" s="2" t="s">
        <v>25</v>
      </c>
      <c r="C4" s="18" t="s">
        <v>26</v>
      </c>
      <c r="D4" s="4">
        <v>694737</v>
      </c>
      <c r="E4" s="4">
        <v>664756.5</v>
      </c>
      <c r="F4" s="4">
        <v>634776</v>
      </c>
      <c r="G4" s="4">
        <v>619004</v>
      </c>
      <c r="H4" s="4">
        <v>598828</v>
      </c>
      <c r="I4" s="4">
        <v>553728</v>
      </c>
      <c r="J4" s="4">
        <v>553098</v>
      </c>
      <c r="K4" s="4">
        <v>543670</v>
      </c>
      <c r="L4" s="4">
        <v>529715</v>
      </c>
      <c r="M4" s="4">
        <v>522977</v>
      </c>
      <c r="N4" s="4">
        <v>519144</v>
      </c>
      <c r="O4" s="4">
        <v>401879</v>
      </c>
      <c r="P4" s="4">
        <v>500359</v>
      </c>
      <c r="Q4" s="1"/>
    </row>
    <row r="5" spans="1:39" x14ac:dyDescent="0.75">
      <c r="A5" s="2">
        <v>2</v>
      </c>
      <c r="B5" s="2" t="s">
        <v>27</v>
      </c>
      <c r="C5" s="18" t="s">
        <v>28</v>
      </c>
      <c r="D5" s="4">
        <v>638049</v>
      </c>
      <c r="E5" s="4">
        <v>620772.5</v>
      </c>
      <c r="F5" s="4">
        <v>603496</v>
      </c>
      <c r="G5" s="4">
        <v>618381</v>
      </c>
      <c r="H5" s="4">
        <v>627494</v>
      </c>
      <c r="I5" s="4">
        <v>672086</v>
      </c>
      <c r="J5" s="4">
        <v>672425</v>
      </c>
      <c r="K5" s="4">
        <v>678803</v>
      </c>
      <c r="L5" s="4">
        <v>664888</v>
      </c>
      <c r="M5" s="4">
        <v>654663</v>
      </c>
      <c r="N5" s="4">
        <v>652518</v>
      </c>
      <c r="O5" s="4">
        <v>732934</v>
      </c>
      <c r="P5" s="4">
        <v>631295</v>
      </c>
      <c r="Q5" s="1"/>
    </row>
    <row r="6" spans="1:39" x14ac:dyDescent="0.75">
      <c r="A6" s="2">
        <v>3</v>
      </c>
      <c r="B6" s="2" t="s">
        <v>29</v>
      </c>
      <c r="C6" s="18" t="s">
        <v>30</v>
      </c>
      <c r="D6" s="4">
        <v>208727</v>
      </c>
      <c r="E6" s="4">
        <v>207345</v>
      </c>
      <c r="F6" s="4">
        <v>205963</v>
      </c>
      <c r="G6" s="4">
        <v>201768</v>
      </c>
      <c r="H6" s="4">
        <v>196510</v>
      </c>
      <c r="I6" s="4">
        <v>196510</v>
      </c>
      <c r="J6" s="4">
        <v>196510</v>
      </c>
      <c r="K6" s="4">
        <v>197808</v>
      </c>
      <c r="L6" s="4">
        <v>196758</v>
      </c>
      <c r="M6" s="4">
        <v>195162</v>
      </c>
      <c r="N6" s="4">
        <v>195007</v>
      </c>
      <c r="O6" s="4">
        <v>195660</v>
      </c>
      <c r="P6" s="4">
        <v>195384</v>
      </c>
      <c r="Q6" s="1"/>
    </row>
    <row r="7" spans="1:39" x14ac:dyDescent="0.75">
      <c r="A7" s="2">
        <v>4</v>
      </c>
      <c r="B7" s="2" t="s">
        <v>31</v>
      </c>
      <c r="C7" s="18" t="s">
        <v>32</v>
      </c>
      <c r="D7" s="15">
        <v>342429</v>
      </c>
      <c r="E7" s="15">
        <v>329304</v>
      </c>
      <c r="F7" s="15">
        <v>316179</v>
      </c>
      <c r="G7" s="15">
        <v>292789</v>
      </c>
      <c r="H7" s="15">
        <v>238249</v>
      </c>
      <c r="I7" s="15">
        <v>205343</v>
      </c>
      <c r="J7" s="15">
        <v>205343</v>
      </c>
      <c r="K7" s="15">
        <v>206530</v>
      </c>
      <c r="L7" s="15">
        <v>202799</v>
      </c>
      <c r="M7" s="15">
        <v>200958</v>
      </c>
      <c r="N7" s="15">
        <v>200400</v>
      </c>
      <c r="O7" s="15">
        <v>202694</v>
      </c>
      <c r="P7" s="15">
        <v>202193</v>
      </c>
      <c r="Q7" s="1"/>
    </row>
    <row r="8" spans="1:39" x14ac:dyDescent="0.75">
      <c r="A8" s="2">
        <v>5</v>
      </c>
      <c r="B8" s="2" t="s">
        <v>33</v>
      </c>
      <c r="C8" s="19" t="s">
        <v>34</v>
      </c>
      <c r="D8" s="4">
        <v>71945.899999999994</v>
      </c>
      <c r="E8" s="4">
        <v>124194.45</v>
      </c>
      <c r="F8" s="4">
        <v>176443</v>
      </c>
      <c r="G8" s="4">
        <v>177229</v>
      </c>
      <c r="H8" s="4">
        <v>178032</v>
      </c>
      <c r="I8" s="4">
        <v>178463</v>
      </c>
      <c r="J8" s="4">
        <v>177262</v>
      </c>
      <c r="K8" s="4">
        <v>174273</v>
      </c>
      <c r="L8" s="4">
        <v>169262</v>
      </c>
      <c r="M8" s="4">
        <v>166111</v>
      </c>
      <c r="N8" s="4">
        <v>170801</v>
      </c>
      <c r="O8" s="4">
        <v>169656</v>
      </c>
      <c r="P8" s="4">
        <v>129465</v>
      </c>
      <c r="Q8" s="1"/>
    </row>
    <row r="9" spans="1:39" x14ac:dyDescent="0.75">
      <c r="A9" s="2">
        <v>6</v>
      </c>
      <c r="B9" s="2" t="s">
        <v>65</v>
      </c>
      <c r="C9" s="19" t="s">
        <v>66</v>
      </c>
      <c r="D9" s="4">
        <v>0</v>
      </c>
      <c r="E9" s="4">
        <v>0</v>
      </c>
      <c r="F9" s="4">
        <v>0</v>
      </c>
      <c r="G9" s="4">
        <v>101.02200000000001</v>
      </c>
      <c r="H9" s="4">
        <v>101.02200000000001</v>
      </c>
      <c r="I9" s="4">
        <v>101.02200000000001</v>
      </c>
      <c r="J9" s="4">
        <v>1533.15</v>
      </c>
      <c r="K9" s="4">
        <v>16535</v>
      </c>
      <c r="L9" s="4">
        <v>19885</v>
      </c>
      <c r="M9" s="4">
        <v>27397.200000000001</v>
      </c>
      <c r="N9" s="4">
        <v>53856.800000000003</v>
      </c>
      <c r="O9" s="4">
        <v>80231.399999999994</v>
      </c>
      <c r="P9" s="4">
        <v>94358.6</v>
      </c>
      <c r="Q9" s="1"/>
    </row>
    <row r="10" spans="1:39" x14ac:dyDescent="0.75">
      <c r="A10" s="2">
        <v>7</v>
      </c>
      <c r="B10" s="2" t="s">
        <v>35</v>
      </c>
      <c r="C10" s="19" t="s">
        <v>36</v>
      </c>
      <c r="D10" s="4">
        <v>3159.73</v>
      </c>
      <c r="E10" s="4">
        <v>3365.5749999999998</v>
      </c>
      <c r="F10" s="4">
        <v>3571.42</v>
      </c>
      <c r="G10" s="4">
        <v>3667.19</v>
      </c>
      <c r="H10" s="4">
        <v>3890.97</v>
      </c>
      <c r="I10" s="4">
        <v>3890.97</v>
      </c>
      <c r="J10" s="4">
        <v>3890.97</v>
      </c>
      <c r="K10" s="4">
        <v>3916.67</v>
      </c>
      <c r="L10" s="4">
        <v>3653.09</v>
      </c>
      <c r="M10" s="4">
        <v>3878.1</v>
      </c>
      <c r="N10" s="4">
        <v>3480.02</v>
      </c>
      <c r="O10" s="4">
        <v>7216.4</v>
      </c>
      <c r="P10" s="4">
        <v>7089.96</v>
      </c>
      <c r="Q10" s="1"/>
    </row>
    <row r="11" spans="1:39" x14ac:dyDescent="0.75">
      <c r="A11" s="2">
        <v>8</v>
      </c>
      <c r="B11" s="2" t="s">
        <v>37</v>
      </c>
      <c r="C11" s="19" t="s">
        <v>38</v>
      </c>
      <c r="D11" s="4">
        <v>81713.600000000006</v>
      </c>
      <c r="E11" s="4">
        <v>51759.350000000006</v>
      </c>
      <c r="F11" s="4">
        <v>21805.1</v>
      </c>
      <c r="G11" s="4">
        <v>21805.1</v>
      </c>
      <c r="H11" s="4">
        <v>21853.200000000001</v>
      </c>
      <c r="I11" s="4">
        <v>21853.200000000001</v>
      </c>
      <c r="J11" s="4">
        <v>21912.9</v>
      </c>
      <c r="K11" s="4">
        <v>23500.799999999999</v>
      </c>
      <c r="L11" s="4">
        <v>263859</v>
      </c>
      <c r="M11" s="4">
        <v>75080.7</v>
      </c>
      <c r="N11" s="4">
        <v>56539</v>
      </c>
      <c r="O11" s="4">
        <v>77994.3</v>
      </c>
      <c r="P11" s="4">
        <v>88946.1</v>
      </c>
      <c r="Q11" s="1"/>
    </row>
    <row r="12" spans="1:39" x14ac:dyDescent="0.75">
      <c r="A12" s="2">
        <v>9</v>
      </c>
      <c r="B12" s="2" t="s">
        <v>39</v>
      </c>
      <c r="C12" s="19" t="s">
        <v>40</v>
      </c>
      <c r="D12" s="4">
        <v>763.64700000000005</v>
      </c>
      <c r="E12" s="4">
        <v>763.64700000000005</v>
      </c>
      <c r="F12" s="4">
        <v>763.64700000000005</v>
      </c>
      <c r="G12" s="4">
        <v>763.64700000000005</v>
      </c>
      <c r="H12" s="4">
        <v>763.64700000000005</v>
      </c>
      <c r="I12" s="4">
        <v>763.64700000000005</v>
      </c>
      <c r="J12" s="4">
        <v>763.64700000000005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1"/>
    </row>
    <row r="13" spans="1:39" x14ac:dyDescent="0.75">
      <c r="A13" s="2">
        <v>10</v>
      </c>
      <c r="B13" s="2" t="s">
        <v>41</v>
      </c>
      <c r="C13" s="19" t="s">
        <v>42</v>
      </c>
      <c r="D13" s="4">
        <v>471693</v>
      </c>
      <c r="E13" s="4">
        <v>549086.5</v>
      </c>
      <c r="F13" s="4">
        <v>626480</v>
      </c>
      <c r="G13" s="4">
        <v>646258</v>
      </c>
      <c r="H13" s="4">
        <v>655175</v>
      </c>
      <c r="I13" s="4">
        <v>704034</v>
      </c>
      <c r="J13" s="4">
        <v>704044</v>
      </c>
      <c r="K13" s="4">
        <v>708703</v>
      </c>
      <c r="L13" s="4">
        <v>568723</v>
      </c>
      <c r="M13" s="4">
        <v>700156</v>
      </c>
      <c r="N13" s="4">
        <v>603422</v>
      </c>
      <c r="O13" s="4">
        <v>576528</v>
      </c>
      <c r="P13" s="4">
        <v>555274</v>
      </c>
      <c r="Q13" s="1"/>
    </row>
    <row r="14" spans="1:39" x14ac:dyDescent="0.75">
      <c r="A14" s="2">
        <v>11</v>
      </c>
      <c r="B14" s="2" t="s">
        <v>43</v>
      </c>
      <c r="C14" s="19" t="s">
        <v>44</v>
      </c>
      <c r="D14" s="4">
        <v>352031.11899999995</v>
      </c>
      <c r="E14" s="4">
        <v>352012.17400000058</v>
      </c>
      <c r="F14" s="4">
        <v>351993.22899999935</v>
      </c>
      <c r="G14" s="4">
        <v>351992.03699999955</v>
      </c>
      <c r="H14" s="4">
        <v>351994.55700000003</v>
      </c>
      <c r="I14" s="4">
        <v>351993.95699999947</v>
      </c>
      <c r="J14" s="4">
        <v>351993.82899999991</v>
      </c>
      <c r="K14" s="4">
        <v>322264.42600000091</v>
      </c>
      <c r="L14" s="4">
        <v>322282.10600000061</v>
      </c>
      <c r="M14" s="4">
        <v>351749.49600000028</v>
      </c>
      <c r="N14" s="4">
        <v>351734.07599999942</v>
      </c>
      <c r="O14" s="4">
        <v>349815.73299999943</v>
      </c>
      <c r="P14" s="4">
        <v>349883.96779999975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75">
      <c r="A15" s="2">
        <v>12</v>
      </c>
      <c r="B15" s="2" t="s">
        <v>45</v>
      </c>
      <c r="C15" s="18" t="s">
        <v>46</v>
      </c>
      <c r="D15" s="4">
        <v>25345.3</v>
      </c>
      <c r="E15" s="4">
        <v>24208.9</v>
      </c>
      <c r="F15" s="4">
        <v>23072.5</v>
      </c>
      <c r="G15" s="4">
        <v>25776.2</v>
      </c>
      <c r="H15" s="4">
        <v>23677.9</v>
      </c>
      <c r="I15" s="4">
        <v>23574</v>
      </c>
      <c r="J15" s="4">
        <v>23574</v>
      </c>
      <c r="K15" s="4">
        <v>23675.4</v>
      </c>
      <c r="L15" s="4">
        <v>23520.7</v>
      </c>
      <c r="M15" s="4">
        <v>23876.400000000001</v>
      </c>
      <c r="N15" s="4">
        <v>23829.200000000001</v>
      </c>
      <c r="O15" s="4">
        <v>23931.9</v>
      </c>
      <c r="P15" s="4">
        <v>24059.599999999999</v>
      </c>
      <c r="Q15" s="1"/>
    </row>
    <row r="16" spans="1:39" x14ac:dyDescent="0.75">
      <c r="A16" s="2">
        <v>13</v>
      </c>
      <c r="B16" s="14" t="s">
        <v>47</v>
      </c>
      <c r="C16" s="18" t="s">
        <v>48</v>
      </c>
      <c r="D16" s="15">
        <v>531109</v>
      </c>
      <c r="E16" s="15">
        <v>419213</v>
      </c>
      <c r="F16" s="15">
        <v>307317</v>
      </c>
      <c r="G16" s="15">
        <v>313173</v>
      </c>
      <c r="H16" s="15">
        <v>338909</v>
      </c>
      <c r="I16" s="15">
        <v>371810</v>
      </c>
      <c r="J16" s="15">
        <v>371810</v>
      </c>
      <c r="K16" s="15">
        <v>374446</v>
      </c>
      <c r="L16" s="15">
        <v>359399</v>
      </c>
      <c r="M16" s="15">
        <v>356270</v>
      </c>
      <c r="N16" s="15">
        <v>358089</v>
      </c>
      <c r="O16" s="15">
        <v>357151</v>
      </c>
      <c r="P16" s="15">
        <v>531266</v>
      </c>
      <c r="Q16" s="1"/>
    </row>
    <row r="17" spans="1:18" x14ac:dyDescent="0.75">
      <c r="A17" s="2">
        <v>14</v>
      </c>
      <c r="B17" s="14" t="s">
        <v>49</v>
      </c>
      <c r="C17" s="19" t="s">
        <v>50</v>
      </c>
      <c r="D17" s="15">
        <v>930069</v>
      </c>
      <c r="E17" s="15">
        <v>931437.5</v>
      </c>
      <c r="F17" s="15">
        <v>932806</v>
      </c>
      <c r="G17" s="15">
        <v>929360</v>
      </c>
      <c r="H17" s="15">
        <v>949786</v>
      </c>
      <c r="I17" s="15">
        <v>900908</v>
      </c>
      <c r="J17" s="15">
        <v>900838</v>
      </c>
      <c r="K17" s="15">
        <v>906111</v>
      </c>
      <c r="L17" s="15">
        <v>860813</v>
      </c>
      <c r="M17" s="15">
        <v>917482</v>
      </c>
      <c r="N17" s="15">
        <v>969770</v>
      </c>
      <c r="O17" s="15">
        <v>978818</v>
      </c>
      <c r="P17" s="15">
        <v>942998</v>
      </c>
      <c r="Q17" s="1"/>
    </row>
    <row r="18" spans="1:18" x14ac:dyDescent="0.75">
      <c r="A18" s="2">
        <v>15</v>
      </c>
      <c r="B18" s="14" t="s">
        <v>51</v>
      </c>
      <c r="C18" s="19" t="s">
        <v>52</v>
      </c>
      <c r="D18" s="15">
        <v>14377</v>
      </c>
      <c r="E18" s="15">
        <v>15367.6</v>
      </c>
      <c r="F18" s="15">
        <v>16358.2</v>
      </c>
      <c r="G18" s="15">
        <v>16721.900000000001</v>
      </c>
      <c r="H18" s="15">
        <v>16803.3</v>
      </c>
      <c r="I18" s="15">
        <v>16880.2</v>
      </c>
      <c r="J18" s="15">
        <v>16880.2</v>
      </c>
      <c r="K18" s="15">
        <v>17184</v>
      </c>
      <c r="L18" s="15">
        <v>16395.8</v>
      </c>
      <c r="M18" s="15">
        <v>17071.599999999999</v>
      </c>
      <c r="N18" s="15">
        <v>16376.6</v>
      </c>
      <c r="O18" s="15">
        <v>18278.400000000001</v>
      </c>
      <c r="P18" s="15">
        <v>21670.799999999999</v>
      </c>
      <c r="Q18" s="1"/>
    </row>
    <row r="19" spans="1:18" x14ac:dyDescent="0.75">
      <c r="A19" s="2">
        <v>16</v>
      </c>
      <c r="B19" s="14" t="s">
        <v>53</v>
      </c>
      <c r="C19" s="19" t="s">
        <v>54</v>
      </c>
      <c r="D19" s="15">
        <v>43462.3</v>
      </c>
      <c r="E19" s="15">
        <v>49012.800000000003</v>
      </c>
      <c r="F19" s="15">
        <v>54563.3</v>
      </c>
      <c r="G19" s="15">
        <v>54563.3</v>
      </c>
      <c r="H19" s="15">
        <v>65249.9</v>
      </c>
      <c r="I19" s="15">
        <v>65378.5</v>
      </c>
      <c r="J19" s="15">
        <v>65378.5</v>
      </c>
      <c r="K19" s="15">
        <v>65760.399999999994</v>
      </c>
      <c r="L19" s="15">
        <v>62139.3</v>
      </c>
      <c r="M19" s="15">
        <v>65070.9</v>
      </c>
      <c r="N19" s="15">
        <v>65343.8</v>
      </c>
      <c r="O19" s="15">
        <v>70691.7</v>
      </c>
      <c r="P19" s="15">
        <v>68599.7</v>
      </c>
      <c r="Q19" s="1"/>
    </row>
    <row r="20" spans="1:18" x14ac:dyDescent="0.75">
      <c r="A20" s="2">
        <v>17</v>
      </c>
      <c r="B20" s="14" t="s">
        <v>55</v>
      </c>
      <c r="C20" s="19" t="s">
        <v>56</v>
      </c>
      <c r="D20" s="15">
        <v>10931.7</v>
      </c>
      <c r="E20" s="15">
        <v>10931.7</v>
      </c>
      <c r="F20" s="15">
        <v>10931.7</v>
      </c>
      <c r="G20" s="15">
        <v>10931.7</v>
      </c>
      <c r="H20" s="15">
        <v>10973.6</v>
      </c>
      <c r="I20" s="15">
        <v>10973.6</v>
      </c>
      <c r="J20" s="15">
        <v>11043.9</v>
      </c>
      <c r="K20" s="15">
        <v>11463.2</v>
      </c>
      <c r="L20" s="15">
        <v>11458.9</v>
      </c>
      <c r="M20" s="15">
        <v>11388.1</v>
      </c>
      <c r="N20" s="15">
        <v>11388.1</v>
      </c>
      <c r="O20" s="15">
        <v>48795.199999999997</v>
      </c>
      <c r="P20" s="15">
        <v>45504.6</v>
      </c>
      <c r="Q20" s="1"/>
    </row>
    <row r="21" spans="1:18" x14ac:dyDescent="0.75">
      <c r="A21" s="2">
        <v>18</v>
      </c>
      <c r="B21" s="14" t="s">
        <v>67</v>
      </c>
      <c r="C21" s="19" t="s">
        <v>68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448.15699999999998</v>
      </c>
      <c r="P21" s="15">
        <v>79.672200000000004</v>
      </c>
      <c r="Q21" s="1"/>
    </row>
    <row r="22" spans="1:18" x14ac:dyDescent="0.75">
      <c r="A22" s="2">
        <v>19</v>
      </c>
      <c r="B22" s="14" t="s">
        <v>57</v>
      </c>
      <c r="C22" s="19" t="s">
        <v>58</v>
      </c>
      <c r="D22" s="15">
        <v>158.70400000000001</v>
      </c>
      <c r="E22" s="15">
        <v>158.70400000000001</v>
      </c>
      <c r="F22" s="15">
        <v>158.70400000000001</v>
      </c>
      <c r="G22" s="15">
        <v>158.70400000000001</v>
      </c>
      <c r="H22" s="15">
        <v>158.70400000000001</v>
      </c>
      <c r="I22" s="15">
        <v>158.70400000000001</v>
      </c>
      <c r="J22" s="15">
        <v>158.70400000000001</v>
      </c>
      <c r="K22" s="15">
        <v>158.70400000000001</v>
      </c>
      <c r="L22" s="15">
        <v>158.70400000000001</v>
      </c>
      <c r="M22" s="15">
        <v>158.70400000000001</v>
      </c>
      <c r="N22" s="15">
        <v>158.70400000000001</v>
      </c>
      <c r="O22" s="15">
        <v>175.21</v>
      </c>
      <c r="P22" s="15">
        <v>175</v>
      </c>
      <c r="Q22" s="1"/>
    </row>
    <row r="23" spans="1:18" x14ac:dyDescent="0.75">
      <c r="A23" s="2">
        <v>20</v>
      </c>
      <c r="B23" s="14" t="s">
        <v>59</v>
      </c>
      <c r="C23" s="19" t="s">
        <v>60</v>
      </c>
      <c r="D23" s="15">
        <v>36638</v>
      </c>
      <c r="E23" s="15">
        <v>41429.599999999999</v>
      </c>
      <c r="F23" s="15">
        <v>46221.2</v>
      </c>
      <c r="G23" s="15">
        <v>46221.2</v>
      </c>
      <c r="H23" s="15">
        <v>46221.2</v>
      </c>
      <c r="I23" s="15">
        <v>46221.2</v>
      </c>
      <c r="J23" s="15">
        <v>46221.2</v>
      </c>
      <c r="K23" s="15">
        <v>46440.4</v>
      </c>
      <c r="L23" s="15">
        <v>46440.4</v>
      </c>
      <c r="M23" s="15">
        <v>46151.8</v>
      </c>
      <c r="N23" s="15">
        <v>45503.7</v>
      </c>
      <c r="O23" s="15">
        <v>26525.599999999999</v>
      </c>
      <c r="P23" s="15">
        <v>25575</v>
      </c>
      <c r="Q23" s="1"/>
    </row>
    <row r="24" spans="1:18" x14ac:dyDescent="0.75">
      <c r="A24" s="2">
        <v>21</v>
      </c>
      <c r="B24" s="14" t="s">
        <v>61</v>
      </c>
      <c r="C24" s="19" t="s">
        <v>62</v>
      </c>
      <c r="D24" s="15">
        <v>394375</v>
      </c>
      <c r="E24" s="15">
        <v>456595.5</v>
      </c>
      <c r="F24" s="15">
        <v>518816</v>
      </c>
      <c r="G24" s="15">
        <v>521051</v>
      </c>
      <c r="H24" s="15">
        <v>527044</v>
      </c>
      <c r="I24" s="15">
        <v>527044</v>
      </c>
      <c r="J24" s="15">
        <v>527034</v>
      </c>
      <c r="K24" s="15">
        <v>530472</v>
      </c>
      <c r="L24" s="15">
        <v>529565</v>
      </c>
      <c r="M24" s="15">
        <v>516113</v>
      </c>
      <c r="N24" s="15">
        <v>554354</v>
      </c>
      <c r="O24" s="15">
        <v>532291</v>
      </c>
      <c r="P24" s="15">
        <v>437538</v>
      </c>
      <c r="Q24" s="1"/>
    </row>
    <row r="25" spans="1:18" x14ac:dyDescent="0.75">
      <c r="B25" s="16"/>
      <c r="C25" s="16"/>
      <c r="D25" s="17">
        <f>SUM(D4:D24)</f>
        <v>4851715</v>
      </c>
      <c r="E25" s="17">
        <f t="shared" ref="E25:P25" si="0">SUM(E4:E24)</f>
        <v>4851715</v>
      </c>
      <c r="F25" s="17">
        <f t="shared" si="0"/>
        <v>4851715</v>
      </c>
      <c r="G25" s="17">
        <f t="shared" si="0"/>
        <v>4851715.0000000009</v>
      </c>
      <c r="H25" s="17">
        <f t="shared" si="0"/>
        <v>4851715</v>
      </c>
      <c r="I25" s="17">
        <f t="shared" si="0"/>
        <v>4851714.9999999991</v>
      </c>
      <c r="J25" s="17">
        <f t="shared" si="0"/>
        <v>4851715</v>
      </c>
      <c r="K25" s="17">
        <f t="shared" si="0"/>
        <v>4851715.0000000009</v>
      </c>
      <c r="L25" s="17">
        <f t="shared" si="0"/>
        <v>4851715.0000000009</v>
      </c>
      <c r="M25" s="17">
        <f t="shared" si="0"/>
        <v>4851714.9999999991</v>
      </c>
      <c r="N25" s="17">
        <f t="shared" si="0"/>
        <v>4851715</v>
      </c>
      <c r="O25" s="17">
        <f t="shared" si="0"/>
        <v>4851714.9999999981</v>
      </c>
      <c r="P25" s="17">
        <f t="shared" si="0"/>
        <v>4851715</v>
      </c>
    </row>
    <row r="26" spans="1:18" x14ac:dyDescent="0.75">
      <c r="D26"/>
    </row>
    <row r="27" spans="1:18" x14ac:dyDescent="0.75">
      <c r="A27" s="169" t="s">
        <v>1</v>
      </c>
      <c r="B27" s="169"/>
      <c r="C27" s="7">
        <v>4851715</v>
      </c>
      <c r="D27"/>
    </row>
    <row r="28" spans="1:18" x14ac:dyDescent="0.75">
      <c r="A28" s="165" t="s">
        <v>44</v>
      </c>
      <c r="B28" s="166"/>
      <c r="C28" s="8" t="s">
        <v>69</v>
      </c>
    </row>
    <row r="29" spans="1:18" x14ac:dyDescent="0.75">
      <c r="D29"/>
    </row>
    <row r="30" spans="1:18" x14ac:dyDescent="0.75">
      <c r="B30" s="20"/>
      <c r="C30" s="22" t="s">
        <v>72</v>
      </c>
      <c r="D30" s="12">
        <f>SUM(D8:D14,D17:D24)</f>
        <v>2411318.6999999997</v>
      </c>
      <c r="E30" s="30">
        <f t="shared" ref="E30:P30" si="1">SUM(E8:E14,E17:E24)</f>
        <v>2586115.1000000006</v>
      </c>
      <c r="F30" s="1">
        <f t="shared" si="1"/>
        <v>2760911.4999999995</v>
      </c>
      <c r="G30" s="1">
        <f t="shared" si="1"/>
        <v>2780823.7999999993</v>
      </c>
      <c r="H30" s="1">
        <f t="shared" si="1"/>
        <v>2828047.1</v>
      </c>
      <c r="I30" s="30">
        <f t="shared" si="1"/>
        <v>2828664</v>
      </c>
      <c r="J30" s="1">
        <f t="shared" si="1"/>
        <v>2828955</v>
      </c>
      <c r="K30" s="1">
        <f t="shared" si="1"/>
        <v>2826782.6000000006</v>
      </c>
      <c r="L30" s="1">
        <f t="shared" si="1"/>
        <v>2874635.3</v>
      </c>
      <c r="M30" s="1">
        <f t="shared" si="1"/>
        <v>2897808.6</v>
      </c>
      <c r="N30" s="1">
        <f t="shared" si="1"/>
        <v>2902727.7999999993</v>
      </c>
      <c r="O30" s="1">
        <f t="shared" si="1"/>
        <v>2937465.1</v>
      </c>
      <c r="P30" s="12">
        <f t="shared" si="1"/>
        <v>2767158.4</v>
      </c>
      <c r="Q30" s="21">
        <f>(P30-D30)/D30</f>
        <v>0.14757058036335066</v>
      </c>
      <c r="R30" s="21">
        <f>Q30/(P3-D3)</f>
        <v>5.0886407021845052E-3</v>
      </c>
    </row>
    <row r="31" spans="1:18" x14ac:dyDescent="0.75">
      <c r="C31" s="22"/>
      <c r="D31" s="21">
        <f>D30/$D$25</f>
        <v>0.49700336891181773</v>
      </c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21">
        <f>P30/$P$25</f>
        <v>0.57034644450467509</v>
      </c>
    </row>
    <row r="32" spans="1:18" x14ac:dyDescent="0.75">
      <c r="B32" s="18"/>
      <c r="C32" s="22" t="s">
        <v>71</v>
      </c>
      <c r="D32" s="1">
        <f>SUM(D4:D7,D15:D16)</f>
        <v>2440396.2999999998</v>
      </c>
      <c r="E32" s="1">
        <f t="shared" ref="E32:P32" si="2">SUM(E4:E7,E15:E16)</f>
        <v>2265599.9</v>
      </c>
      <c r="F32" s="13">
        <f t="shared" si="2"/>
        <v>2090803.5</v>
      </c>
      <c r="G32" s="13">
        <f t="shared" si="2"/>
        <v>2070891.2</v>
      </c>
      <c r="H32" s="13">
        <f t="shared" si="2"/>
        <v>2023667.9</v>
      </c>
      <c r="I32" s="13">
        <f t="shared" si="2"/>
        <v>2023051</v>
      </c>
      <c r="J32" s="13">
        <f t="shared" si="2"/>
        <v>2022760</v>
      </c>
      <c r="K32" s="1">
        <f t="shared" si="2"/>
        <v>2024932.4</v>
      </c>
      <c r="L32" s="1">
        <f t="shared" si="2"/>
        <v>1977079.7</v>
      </c>
      <c r="M32" s="1">
        <f t="shared" si="2"/>
        <v>1953906.4</v>
      </c>
      <c r="N32" s="1">
        <f t="shared" si="2"/>
        <v>1948987.2</v>
      </c>
      <c r="O32" s="1">
        <f t="shared" si="2"/>
        <v>1914249.9</v>
      </c>
      <c r="P32" s="1">
        <f t="shared" si="2"/>
        <v>2084556.6</v>
      </c>
      <c r="Q32" s="21">
        <f>(P32-D32)/D32</f>
        <v>-0.14581226008251191</v>
      </c>
      <c r="R32" s="21">
        <f>Q32/(P3-D3)</f>
        <v>-5.0280089683624801E-3</v>
      </c>
    </row>
    <row r="33" spans="2:16" x14ac:dyDescent="0.75">
      <c r="D33" s="21">
        <f>D32/$D$25</f>
        <v>0.50299663108818216</v>
      </c>
      <c r="F33" s="13"/>
      <c r="G33" s="12"/>
      <c r="H33" s="12"/>
      <c r="I33" s="13"/>
      <c r="P33" s="21">
        <f>P32/$P$25</f>
        <v>0.42965355549532486</v>
      </c>
    </row>
    <row r="34" spans="2:16" x14ac:dyDescent="0.75">
      <c r="F34" s="12"/>
      <c r="G34" s="12"/>
      <c r="H34" s="12"/>
      <c r="I34" s="12"/>
    </row>
    <row r="35" spans="2:16" x14ac:dyDescent="0.75">
      <c r="B35" t="s">
        <v>73</v>
      </c>
      <c r="F35" s="12"/>
      <c r="G35" s="12" t="s">
        <v>76</v>
      </c>
      <c r="H35" s="12"/>
      <c r="I35" s="12"/>
    </row>
    <row r="36" spans="2:16" x14ac:dyDescent="0.75">
      <c r="B36" t="s">
        <v>74</v>
      </c>
      <c r="F36" s="12"/>
      <c r="G36" s="12"/>
      <c r="H36" s="12"/>
      <c r="I36" s="12"/>
    </row>
    <row r="37" spans="2:16" x14ac:dyDescent="0.75">
      <c r="B37" t="s">
        <v>75</v>
      </c>
      <c r="F37" s="12"/>
      <c r="G37" s="12"/>
      <c r="H37" s="12"/>
      <c r="I37" s="12"/>
    </row>
    <row r="38" spans="2:16" x14ac:dyDescent="0.75">
      <c r="F38" s="12"/>
      <c r="G38" s="12"/>
      <c r="H38" s="12"/>
      <c r="I38" s="12"/>
    </row>
    <row r="39" spans="2:16" x14ac:dyDescent="0.75">
      <c r="F39" s="12"/>
      <c r="G39" s="12"/>
      <c r="H39" s="12"/>
      <c r="I39" s="12"/>
    </row>
    <row r="40" spans="2:16" x14ac:dyDescent="0.75">
      <c r="F40" s="12"/>
      <c r="G40" s="12"/>
      <c r="H40" s="12"/>
      <c r="I40" s="12"/>
    </row>
    <row r="41" spans="2:16" x14ac:dyDescent="0.75">
      <c r="F41" s="163">
        <v>1990</v>
      </c>
      <c r="G41" s="163"/>
      <c r="H41" s="163">
        <v>2019</v>
      </c>
      <c r="I41" s="163"/>
      <c r="K41" s="164" t="s">
        <v>82</v>
      </c>
      <c r="L41" s="164"/>
    </row>
    <row r="42" spans="2:16" x14ac:dyDescent="0.75">
      <c r="F42" s="11" t="s">
        <v>80</v>
      </c>
      <c r="G42" s="11" t="s">
        <v>81</v>
      </c>
      <c r="H42" s="11" t="s">
        <v>80</v>
      </c>
      <c r="I42" s="11" t="s">
        <v>81</v>
      </c>
      <c r="K42" s="28" t="s">
        <v>84</v>
      </c>
      <c r="L42" s="29" t="s">
        <v>83</v>
      </c>
    </row>
    <row r="43" spans="2:16" x14ac:dyDescent="0.75">
      <c r="E43" s="23" t="s">
        <v>77</v>
      </c>
      <c r="F43" s="24">
        <f>SUM(D8:D14,D17:D24)</f>
        <v>2411318.6999999997</v>
      </c>
      <c r="G43" s="27">
        <f>100*F43/$F$45</f>
        <v>49.70033689118177</v>
      </c>
      <c r="H43" s="24">
        <f>SUM(P8:P14,P17:P24)</f>
        <v>2767158.4</v>
      </c>
      <c r="I43" s="27">
        <f>100*H43/$H$45</f>
        <v>57.034644450467518</v>
      </c>
      <c r="K43" s="21">
        <f>(I43-G43)/G43</f>
        <v>0.1475705803633508</v>
      </c>
      <c r="L43" s="21">
        <f>K43/(H41-F41)</f>
        <v>5.0886407021845104E-3</v>
      </c>
    </row>
    <row r="44" spans="2:16" x14ac:dyDescent="0.75">
      <c r="E44" s="25" t="s">
        <v>78</v>
      </c>
      <c r="F44" s="26">
        <f>SUM(D4:D7,D15:D16)</f>
        <v>2440396.2999999998</v>
      </c>
      <c r="G44" s="27">
        <f>100*F44/$F$45</f>
        <v>50.299663108818216</v>
      </c>
      <c r="H44" s="26">
        <f>SUM(P4:P7,P15:P16)</f>
        <v>2084556.6</v>
      </c>
      <c r="I44" s="27">
        <f>100*H44/$H$45</f>
        <v>42.965355549532482</v>
      </c>
      <c r="K44" s="21">
        <f>(I44-G44)/G44</f>
        <v>-0.14581226008251194</v>
      </c>
      <c r="L44" s="21">
        <f>K44/(H41-F41)</f>
        <v>-5.028008968362481E-3</v>
      </c>
    </row>
    <row r="45" spans="2:16" x14ac:dyDescent="0.75">
      <c r="E45" t="s">
        <v>79</v>
      </c>
      <c r="F45" s="12">
        <f>SUM(F43:F44)</f>
        <v>4851715</v>
      </c>
      <c r="H45" s="12">
        <f>SUM(H43:H44)</f>
        <v>4851715</v>
      </c>
    </row>
  </sheetData>
  <mergeCells count="10">
    <mergeCell ref="A28:B28"/>
    <mergeCell ref="F41:G41"/>
    <mergeCell ref="H41:I41"/>
    <mergeCell ref="K41:L41"/>
    <mergeCell ref="A1:P1"/>
    <mergeCell ref="A2:A3"/>
    <mergeCell ref="B2:B3"/>
    <mergeCell ref="C2:C3"/>
    <mergeCell ref="D2:P2"/>
    <mergeCell ref="A27:B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W75"/>
  <sheetViews>
    <sheetView view="pageBreakPreview" zoomScaleNormal="90" zoomScaleSheetLayoutView="100" workbookViewId="0">
      <selection activeCell="P43" sqref="P43:R44"/>
    </sheetView>
  </sheetViews>
  <sheetFormatPr defaultRowHeight="14.75" x14ac:dyDescent="0.75"/>
  <cols>
    <col min="2" max="2" width="19" customWidth="1"/>
    <col min="3" max="3" width="10.1796875" customWidth="1"/>
    <col min="4" max="4" width="10.6328125" customWidth="1"/>
    <col min="5" max="5" width="10.36328125" customWidth="1"/>
    <col min="6" max="6" width="10.1796875" customWidth="1"/>
    <col min="7" max="7" width="10.08984375" customWidth="1"/>
    <col min="8" max="8" width="9.6328125" customWidth="1"/>
    <col min="9" max="9" width="9.81640625" customWidth="1"/>
    <col min="10" max="10" width="10" customWidth="1"/>
    <col min="11" max="11" width="10.54296875" customWidth="1"/>
    <col min="12" max="12" width="10" customWidth="1"/>
    <col min="13" max="13" width="10.36328125" customWidth="1"/>
    <col min="14" max="14" width="10.08984375" customWidth="1"/>
    <col min="15" max="15" width="10" customWidth="1"/>
    <col min="16" max="16" width="8.81640625" customWidth="1"/>
    <col min="19" max="19" width="9.1796875" customWidth="1"/>
    <col min="21" max="21" width="8.90625"/>
    <col min="22" max="22" width="13.6328125" customWidth="1"/>
    <col min="23" max="23" width="9.90625" customWidth="1"/>
    <col min="24" max="24" width="13.54296875" customWidth="1"/>
    <col min="25" max="26" width="11.81640625" customWidth="1"/>
    <col min="27" max="27" width="13" customWidth="1"/>
    <col min="28" max="38" width="11.81640625" customWidth="1"/>
    <col min="40" max="41" width="11.81640625" customWidth="1"/>
    <col min="42" max="42" width="10.36328125" bestFit="1" customWidth="1"/>
    <col min="45" max="48" width="11.36328125" bestFit="1" customWidth="1"/>
  </cols>
  <sheetData>
    <row r="2" spans="2:24" x14ac:dyDescent="0.75">
      <c r="B2" s="74" t="s">
        <v>120</v>
      </c>
    </row>
    <row r="3" spans="2:24" x14ac:dyDescent="0.75">
      <c r="B3" s="74" t="s">
        <v>121</v>
      </c>
    </row>
    <row r="4" spans="2:24" ht="13" customHeight="1" x14ac:dyDescent="0.75">
      <c r="B4" s="188" t="s">
        <v>110</v>
      </c>
      <c r="C4" s="185" t="s">
        <v>113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</row>
    <row r="5" spans="2:24" ht="13" customHeight="1" x14ac:dyDescent="0.75">
      <c r="B5" s="189"/>
      <c r="C5" s="62">
        <v>1990</v>
      </c>
      <c r="D5" s="63">
        <v>1996</v>
      </c>
      <c r="E5" s="63">
        <v>2000</v>
      </c>
      <c r="F5" s="63">
        <v>2003</v>
      </c>
      <c r="G5" s="63">
        <v>2006</v>
      </c>
      <c r="H5" s="63">
        <v>2009</v>
      </c>
      <c r="I5" s="63">
        <v>2011</v>
      </c>
      <c r="J5" s="63">
        <v>2014</v>
      </c>
      <c r="K5" s="63">
        <v>2015</v>
      </c>
      <c r="L5" s="63">
        <v>2016</v>
      </c>
      <c r="M5" s="63">
        <v>2017</v>
      </c>
      <c r="N5" s="63">
        <v>2018</v>
      </c>
      <c r="O5" s="63">
        <v>2019</v>
      </c>
    </row>
    <row r="6" spans="2:24" ht="15" customHeight="1" x14ac:dyDescent="0.75">
      <c r="B6" s="190"/>
      <c r="C6" s="61" t="s">
        <v>114</v>
      </c>
      <c r="D6" s="61" t="s">
        <v>114</v>
      </c>
      <c r="E6" s="61" t="s">
        <v>114</v>
      </c>
      <c r="F6" s="61" t="s">
        <v>114</v>
      </c>
      <c r="G6" s="61" t="s">
        <v>114</v>
      </c>
      <c r="H6" s="61" t="s">
        <v>114</v>
      </c>
      <c r="I6" s="61" t="s">
        <v>114</v>
      </c>
      <c r="J6" s="61" t="s">
        <v>114</v>
      </c>
      <c r="K6" s="61" t="s">
        <v>114</v>
      </c>
      <c r="L6" s="61" t="s">
        <v>114</v>
      </c>
      <c r="M6" s="61" t="s">
        <v>114</v>
      </c>
      <c r="N6" s="61" t="s">
        <v>114</v>
      </c>
      <c r="O6" s="69" t="s">
        <v>114</v>
      </c>
      <c r="V6" s="107"/>
      <c r="X6" t="s">
        <v>113</v>
      </c>
    </row>
    <row r="7" spans="2:24" x14ac:dyDescent="0.75">
      <c r="B7" s="70" t="s">
        <v>111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V7" s="107"/>
      <c r="X7" t="s">
        <v>131</v>
      </c>
    </row>
    <row r="8" spans="2:24" x14ac:dyDescent="0.75">
      <c r="B8" s="59" t="s">
        <v>26</v>
      </c>
      <c r="C8" s="64">
        <v>694737</v>
      </c>
      <c r="D8" s="64">
        <v>664756.5</v>
      </c>
      <c r="E8" s="64">
        <v>634776</v>
      </c>
      <c r="F8" s="64">
        <v>619004</v>
      </c>
      <c r="G8" s="64">
        <v>598828</v>
      </c>
      <c r="H8" s="64">
        <v>553728</v>
      </c>
      <c r="I8" s="64">
        <v>553098</v>
      </c>
      <c r="J8" s="64">
        <v>543670</v>
      </c>
      <c r="K8" s="64">
        <v>529715</v>
      </c>
      <c r="L8" s="64">
        <v>522977</v>
      </c>
      <c r="M8" s="64">
        <v>519144</v>
      </c>
      <c r="N8" s="64">
        <v>401879</v>
      </c>
      <c r="O8" s="64">
        <v>500359</v>
      </c>
      <c r="Q8">
        <f>(D15-C15)/C15</f>
        <v>-7.1626235460199444E-2</v>
      </c>
      <c r="R8" s="78"/>
      <c r="V8" s="107"/>
    </row>
    <row r="9" spans="2:24" x14ac:dyDescent="0.75">
      <c r="B9" s="59" t="s">
        <v>28</v>
      </c>
      <c r="C9" s="64">
        <v>638049</v>
      </c>
      <c r="D9" s="64">
        <v>620772.5</v>
      </c>
      <c r="E9" s="64">
        <v>603496</v>
      </c>
      <c r="F9" s="64">
        <v>618381</v>
      </c>
      <c r="G9" s="64">
        <v>627494</v>
      </c>
      <c r="H9" s="64">
        <v>672086</v>
      </c>
      <c r="I9" s="64">
        <v>672425</v>
      </c>
      <c r="J9" s="64">
        <v>678803</v>
      </c>
      <c r="K9" s="64">
        <v>664888</v>
      </c>
      <c r="L9" s="64">
        <v>654663</v>
      </c>
      <c r="M9" s="64">
        <v>652518</v>
      </c>
      <c r="N9" s="64">
        <v>732934</v>
      </c>
      <c r="O9" s="64">
        <v>631295</v>
      </c>
      <c r="Q9">
        <f>Q8*100</f>
        <v>-7.1626235460199448</v>
      </c>
      <c r="V9" s="107"/>
    </row>
    <row r="10" spans="2:24" x14ac:dyDescent="0.75">
      <c r="B10" s="59" t="s">
        <v>30</v>
      </c>
      <c r="C10" s="65">
        <v>208727</v>
      </c>
      <c r="D10" s="65">
        <v>207345</v>
      </c>
      <c r="E10" s="65">
        <v>205963</v>
      </c>
      <c r="F10" s="65">
        <v>201768</v>
      </c>
      <c r="G10" s="65">
        <v>196510</v>
      </c>
      <c r="H10" s="65">
        <v>196510</v>
      </c>
      <c r="I10" s="65">
        <v>196510</v>
      </c>
      <c r="J10" s="65">
        <v>197808</v>
      </c>
      <c r="K10" s="65">
        <v>196758</v>
      </c>
      <c r="L10" s="65">
        <v>195162</v>
      </c>
      <c r="M10" s="65">
        <v>195007</v>
      </c>
      <c r="N10" s="65">
        <v>195660</v>
      </c>
      <c r="O10" s="65">
        <v>195384</v>
      </c>
      <c r="S10" s="82"/>
      <c r="V10" s="107"/>
    </row>
    <row r="11" spans="2:24" x14ac:dyDescent="0.75">
      <c r="B11" s="59" t="s">
        <v>46</v>
      </c>
      <c r="C11" s="65">
        <v>25345.3</v>
      </c>
      <c r="D11" s="65">
        <v>24208.9</v>
      </c>
      <c r="E11" s="65">
        <v>23072.5</v>
      </c>
      <c r="F11" s="65">
        <v>25776.2</v>
      </c>
      <c r="G11" s="65">
        <v>23677.9</v>
      </c>
      <c r="H11" s="65">
        <v>23574</v>
      </c>
      <c r="I11" s="65">
        <v>23574</v>
      </c>
      <c r="J11" s="65">
        <v>23675.4</v>
      </c>
      <c r="K11" s="65">
        <v>23520.7</v>
      </c>
      <c r="L11" s="65">
        <v>23876.400000000001</v>
      </c>
      <c r="M11" s="65">
        <v>23829.200000000001</v>
      </c>
      <c r="N11" s="65">
        <v>23931.9</v>
      </c>
      <c r="O11" s="65">
        <v>24059.599999999999</v>
      </c>
      <c r="V11" s="107"/>
    </row>
    <row r="12" spans="2:24" x14ac:dyDescent="0.75">
      <c r="B12" s="59" t="s">
        <v>32</v>
      </c>
      <c r="C12" s="66">
        <v>342429</v>
      </c>
      <c r="D12" s="66">
        <v>329304</v>
      </c>
      <c r="E12" s="66">
        <v>316179</v>
      </c>
      <c r="F12" s="66">
        <v>292789</v>
      </c>
      <c r="G12" s="66">
        <v>238249</v>
      </c>
      <c r="H12" s="66">
        <v>205343</v>
      </c>
      <c r="I12" s="66">
        <v>205343</v>
      </c>
      <c r="J12" s="66">
        <v>206530</v>
      </c>
      <c r="K12" s="66">
        <v>202799</v>
      </c>
      <c r="L12" s="66">
        <v>200958</v>
      </c>
      <c r="M12" s="66">
        <v>200400</v>
      </c>
      <c r="N12" s="66">
        <v>202694</v>
      </c>
      <c r="O12" s="66">
        <v>202193</v>
      </c>
      <c r="V12" s="107"/>
    </row>
    <row r="13" spans="2:24" x14ac:dyDescent="0.75">
      <c r="B13" s="59" t="s">
        <v>48</v>
      </c>
      <c r="C13" s="66">
        <v>531109</v>
      </c>
      <c r="D13" s="66">
        <v>419213</v>
      </c>
      <c r="E13" s="66">
        <v>307317</v>
      </c>
      <c r="F13" s="66">
        <v>313173</v>
      </c>
      <c r="G13" s="66">
        <v>338909</v>
      </c>
      <c r="H13" s="66">
        <v>371810</v>
      </c>
      <c r="I13" s="66">
        <v>371810</v>
      </c>
      <c r="J13" s="66">
        <v>374446</v>
      </c>
      <c r="K13" s="66">
        <v>359399</v>
      </c>
      <c r="L13" s="66">
        <v>356270</v>
      </c>
      <c r="M13" s="66">
        <v>358089</v>
      </c>
      <c r="N13" s="66">
        <v>357151</v>
      </c>
      <c r="O13" s="66">
        <v>531266</v>
      </c>
      <c r="V13" s="107"/>
    </row>
    <row r="14" spans="2:24" x14ac:dyDescent="0.75">
      <c r="B14" s="72" t="s">
        <v>117</v>
      </c>
      <c r="C14" s="68">
        <f t="shared" ref="C14:O14" si="0">SUM(C8:C13)</f>
        <v>2440396.2999999998</v>
      </c>
      <c r="D14" s="68">
        <f t="shared" si="0"/>
        <v>2265599.9</v>
      </c>
      <c r="E14" s="68">
        <f t="shared" si="0"/>
        <v>2090803.5</v>
      </c>
      <c r="F14" s="68">
        <f t="shared" si="0"/>
        <v>2070891.2</v>
      </c>
      <c r="G14" s="68">
        <f t="shared" si="0"/>
        <v>2023667.9</v>
      </c>
      <c r="H14" s="68">
        <f t="shared" si="0"/>
        <v>2023051</v>
      </c>
      <c r="I14" s="68">
        <f t="shared" si="0"/>
        <v>2022760</v>
      </c>
      <c r="J14" s="68">
        <f t="shared" si="0"/>
        <v>2024932.4</v>
      </c>
      <c r="K14" s="68">
        <f t="shared" si="0"/>
        <v>1977079.7</v>
      </c>
      <c r="L14" s="68">
        <f t="shared" si="0"/>
        <v>1953906.4</v>
      </c>
      <c r="M14" s="68">
        <f t="shared" si="0"/>
        <v>1948987.2</v>
      </c>
      <c r="N14" s="68">
        <f t="shared" si="0"/>
        <v>1914249.9</v>
      </c>
      <c r="O14" s="68">
        <f t="shared" si="0"/>
        <v>2084556.6</v>
      </c>
      <c r="V14" s="107"/>
    </row>
    <row r="15" spans="2:24" x14ac:dyDescent="0.75">
      <c r="B15" s="72" t="s">
        <v>118</v>
      </c>
      <c r="C15" s="77">
        <f>(C14/(C14+C35))*100</f>
        <v>50.299663108818216</v>
      </c>
      <c r="D15" s="77">
        <f t="shared" ref="D15:O15" si="1">(D14/(D14+D35))*100</f>
        <v>46.696887595417294</v>
      </c>
      <c r="E15" s="77">
        <f t="shared" si="1"/>
        <v>43.094112082016359</v>
      </c>
      <c r="F15" s="77">
        <f t="shared" si="1"/>
        <v>42.683694322523074</v>
      </c>
      <c r="G15" s="77">
        <f t="shared" si="1"/>
        <v>41.710362212124991</v>
      </c>
      <c r="H15" s="77">
        <f t="shared" si="1"/>
        <v>41.697647120657336</v>
      </c>
      <c r="I15" s="77">
        <f t="shared" si="1"/>
        <v>41.691649241556853</v>
      </c>
      <c r="J15" s="77">
        <f t="shared" si="1"/>
        <v>41.736425160999765</v>
      </c>
      <c r="K15" s="77">
        <f t="shared" si="1"/>
        <v>40.750120318279201</v>
      </c>
      <c r="L15" s="77">
        <f t="shared" si="1"/>
        <v>40.272489212577405</v>
      </c>
      <c r="M15" s="77">
        <f t="shared" si="1"/>
        <v>40.171098261130354</v>
      </c>
      <c r="N15" s="77">
        <f t="shared" si="1"/>
        <v>39.455118447806598</v>
      </c>
      <c r="O15" s="77">
        <f t="shared" si="1"/>
        <v>42.965355549532482</v>
      </c>
      <c r="V15" s="107"/>
    </row>
    <row r="16" spans="2:24" x14ac:dyDescent="0.75">
      <c r="B16" s="72" t="s">
        <v>119</v>
      </c>
      <c r="C16" s="68"/>
      <c r="D16" s="68">
        <f>D14-C14</f>
        <v>-174796.39999999991</v>
      </c>
      <c r="E16" s="68">
        <f t="shared" ref="E16:O16" si="2">E14-D14</f>
        <v>-174796.39999999991</v>
      </c>
      <c r="F16" s="68">
        <f>F14-E14</f>
        <v>-19912.300000000047</v>
      </c>
      <c r="G16" s="68">
        <f t="shared" si="2"/>
        <v>-47223.300000000047</v>
      </c>
      <c r="H16" s="68">
        <f t="shared" si="2"/>
        <v>-616.89999999990687</v>
      </c>
      <c r="I16" s="68">
        <f t="shared" si="2"/>
        <v>-291</v>
      </c>
      <c r="J16" s="68">
        <f t="shared" si="2"/>
        <v>2172.3999999999069</v>
      </c>
      <c r="K16" s="68">
        <f t="shared" si="2"/>
        <v>-47852.699999999953</v>
      </c>
      <c r="L16" s="68">
        <f t="shared" si="2"/>
        <v>-23173.300000000047</v>
      </c>
      <c r="M16" s="68">
        <f t="shared" si="2"/>
        <v>-4919.1999999999534</v>
      </c>
      <c r="N16" s="68">
        <f t="shared" si="2"/>
        <v>-34737.300000000047</v>
      </c>
      <c r="O16" s="68">
        <f t="shared" si="2"/>
        <v>170306.70000000019</v>
      </c>
      <c r="V16" s="107"/>
    </row>
    <row r="17" spans="2:26" x14ac:dyDescent="0.75">
      <c r="B17" s="72"/>
      <c r="C17" s="68"/>
      <c r="D17" s="105">
        <f t="shared" ref="D17:O17" si="3">(D14-C14)/C14</f>
        <v>-7.1626235460199611E-2</v>
      </c>
      <c r="E17" s="104">
        <f t="shared" si="3"/>
        <v>-7.7152369224592524E-2</v>
      </c>
      <c r="F17" s="104">
        <f t="shared" si="3"/>
        <v>-9.5237548626640658E-3</v>
      </c>
      <c r="G17" s="77">
        <f t="shared" si="3"/>
        <v>-2.2803370838603228E-2</v>
      </c>
      <c r="H17" s="104">
        <f t="shared" si="3"/>
        <v>-3.0484250899068314E-4</v>
      </c>
      <c r="I17" s="104">
        <f t="shared" si="3"/>
        <v>-1.4384214733093728E-4</v>
      </c>
      <c r="J17" s="104">
        <f t="shared" si="3"/>
        <v>1.0739781288931494E-3</v>
      </c>
      <c r="K17" s="104">
        <f t="shared" si="3"/>
        <v>-2.3631751855024866E-2</v>
      </c>
      <c r="L17" s="104">
        <f t="shared" si="3"/>
        <v>-1.1720974121579443E-2</v>
      </c>
      <c r="M17" s="104">
        <f t="shared" si="3"/>
        <v>-2.5176231573835642E-3</v>
      </c>
      <c r="N17" s="104">
        <f t="shared" si="3"/>
        <v>-1.7823257125547078E-2</v>
      </c>
      <c r="O17" s="104">
        <f t="shared" si="3"/>
        <v>8.8967851062706174E-2</v>
      </c>
      <c r="V17" s="107"/>
    </row>
    <row r="18" spans="2:26" x14ac:dyDescent="0.75">
      <c r="B18" s="72"/>
      <c r="C18" s="68"/>
      <c r="D18" s="105">
        <f t="shared" ref="D18:O18" si="4">D17*100</f>
        <v>-7.1626235460199608</v>
      </c>
      <c r="E18" s="104">
        <f t="shared" si="4"/>
        <v>-7.7152369224592521</v>
      </c>
      <c r="F18" s="104">
        <f t="shared" si="4"/>
        <v>-0.95237548626640656</v>
      </c>
      <c r="G18" s="104">
        <f t="shared" si="4"/>
        <v>-2.280337083860323</v>
      </c>
      <c r="H18" s="104">
        <f t="shared" si="4"/>
        <v>-3.0484250899068314E-2</v>
      </c>
      <c r="I18" s="104">
        <f t="shared" si="4"/>
        <v>-1.4384214733093727E-2</v>
      </c>
      <c r="J18" s="104">
        <f t="shared" si="4"/>
        <v>0.10739781288931494</v>
      </c>
      <c r="K18" s="104">
        <f t="shared" si="4"/>
        <v>-2.3631751855024867</v>
      </c>
      <c r="L18" s="104">
        <f t="shared" si="4"/>
        <v>-1.1720974121579444</v>
      </c>
      <c r="M18" s="104">
        <f t="shared" si="4"/>
        <v>-0.25176231573835639</v>
      </c>
      <c r="N18" s="104">
        <f t="shared" si="4"/>
        <v>-1.7823257125547078</v>
      </c>
      <c r="O18" s="104">
        <f t="shared" si="4"/>
        <v>8.8967851062706167</v>
      </c>
      <c r="V18" s="107"/>
    </row>
    <row r="19" spans="2:26" x14ac:dyDescent="0.75">
      <c r="B19" s="67" t="s">
        <v>112</v>
      </c>
      <c r="C19" s="71"/>
      <c r="D19" s="73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0" spans="2:26" x14ac:dyDescent="0.75">
      <c r="B20" s="59" t="s">
        <v>34</v>
      </c>
      <c r="C20" s="65">
        <v>71945.899999999994</v>
      </c>
      <c r="D20" s="65">
        <v>124194.45</v>
      </c>
      <c r="E20" s="65">
        <v>176443</v>
      </c>
      <c r="F20" s="65">
        <v>177229</v>
      </c>
      <c r="G20" s="65">
        <v>178032</v>
      </c>
      <c r="H20" s="65">
        <v>178463</v>
      </c>
      <c r="I20" s="65">
        <v>177262</v>
      </c>
      <c r="J20" s="65">
        <v>174273</v>
      </c>
      <c r="K20" s="65">
        <v>169262</v>
      </c>
      <c r="L20" s="65">
        <v>166111</v>
      </c>
      <c r="M20" s="65">
        <v>170801</v>
      </c>
      <c r="N20" s="65">
        <v>169656</v>
      </c>
      <c r="O20" s="65">
        <v>129465</v>
      </c>
    </row>
    <row r="21" spans="2:26" x14ac:dyDescent="0.75">
      <c r="B21" s="59" t="s">
        <v>66</v>
      </c>
      <c r="C21" s="65">
        <v>0</v>
      </c>
      <c r="D21" s="65">
        <v>0</v>
      </c>
      <c r="E21" s="65">
        <v>0</v>
      </c>
      <c r="F21" s="65">
        <v>101.02200000000001</v>
      </c>
      <c r="G21" s="65">
        <v>101.02200000000001</v>
      </c>
      <c r="H21" s="65">
        <v>101.02200000000001</v>
      </c>
      <c r="I21" s="65">
        <v>1533.15</v>
      </c>
      <c r="J21" s="65">
        <v>16535</v>
      </c>
      <c r="K21" s="65">
        <v>19885</v>
      </c>
      <c r="L21" s="65">
        <v>27397.200000000001</v>
      </c>
      <c r="M21" s="65">
        <v>53856.800000000003</v>
      </c>
      <c r="N21" s="65">
        <v>80231.399999999994</v>
      </c>
      <c r="O21" s="65">
        <v>94358.6</v>
      </c>
    </row>
    <row r="22" spans="2:26" x14ac:dyDescent="0.75">
      <c r="B22" s="59" t="s">
        <v>36</v>
      </c>
      <c r="C22" s="65">
        <v>3159.73</v>
      </c>
      <c r="D22" s="65">
        <v>3365.5749999999998</v>
      </c>
      <c r="E22" s="65">
        <v>3571.42</v>
      </c>
      <c r="F22" s="65">
        <v>3667.19</v>
      </c>
      <c r="G22" s="65">
        <v>3890.97</v>
      </c>
      <c r="H22" s="65">
        <v>3890.97</v>
      </c>
      <c r="I22" s="65">
        <v>3890.97</v>
      </c>
      <c r="J22" s="65">
        <v>3916.67</v>
      </c>
      <c r="K22" s="65">
        <v>3653.09</v>
      </c>
      <c r="L22" s="65">
        <v>3878.1</v>
      </c>
      <c r="M22" s="65">
        <v>3480.02</v>
      </c>
      <c r="N22" s="65">
        <v>7216.4</v>
      </c>
      <c r="O22" s="65">
        <v>7089.96</v>
      </c>
    </row>
    <row r="23" spans="2:26" x14ac:dyDescent="0.75">
      <c r="B23" s="59" t="s">
        <v>38</v>
      </c>
      <c r="C23" s="65">
        <v>81713.600000000006</v>
      </c>
      <c r="D23" s="65">
        <v>51759.350000000006</v>
      </c>
      <c r="E23" s="65">
        <v>21805.1</v>
      </c>
      <c r="F23" s="65">
        <v>21805.1</v>
      </c>
      <c r="G23" s="65">
        <v>21853.200000000001</v>
      </c>
      <c r="H23" s="65">
        <v>21853.200000000001</v>
      </c>
      <c r="I23" s="65">
        <v>21912.9</v>
      </c>
      <c r="J23" s="65">
        <v>23500.799999999999</v>
      </c>
      <c r="K23" s="65">
        <v>263859</v>
      </c>
      <c r="L23" s="65">
        <v>75080.7</v>
      </c>
      <c r="M23" s="65">
        <v>56539</v>
      </c>
      <c r="N23" s="65">
        <v>77994.3</v>
      </c>
      <c r="O23" s="65">
        <v>88946.1</v>
      </c>
    </row>
    <row r="24" spans="2:26" x14ac:dyDescent="0.75">
      <c r="B24" s="59" t="s">
        <v>40</v>
      </c>
      <c r="C24" s="65">
        <v>763.64700000000005</v>
      </c>
      <c r="D24" s="65">
        <v>763.64700000000005</v>
      </c>
      <c r="E24" s="65">
        <v>763.64700000000005</v>
      </c>
      <c r="F24" s="65">
        <v>763.64700000000005</v>
      </c>
      <c r="G24" s="65">
        <v>763.64700000000005</v>
      </c>
      <c r="H24" s="65">
        <v>763.64700000000005</v>
      </c>
      <c r="I24" s="65">
        <v>763.64700000000005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</row>
    <row r="25" spans="2:26" x14ac:dyDescent="0.75">
      <c r="B25" s="59" t="s">
        <v>42</v>
      </c>
      <c r="C25" s="65">
        <v>471693</v>
      </c>
      <c r="D25" s="65">
        <v>549086.5</v>
      </c>
      <c r="E25" s="65">
        <v>626480</v>
      </c>
      <c r="F25" s="65">
        <v>646258</v>
      </c>
      <c r="G25" s="65">
        <v>655175</v>
      </c>
      <c r="H25" s="65">
        <v>704034</v>
      </c>
      <c r="I25" s="65">
        <v>704044</v>
      </c>
      <c r="J25" s="65">
        <v>708703</v>
      </c>
      <c r="K25" s="65">
        <v>568723</v>
      </c>
      <c r="L25" s="65">
        <v>700156</v>
      </c>
      <c r="M25" s="65">
        <v>603422</v>
      </c>
      <c r="N25" s="65">
        <v>576528</v>
      </c>
      <c r="O25" s="65">
        <v>555274</v>
      </c>
    </row>
    <row r="26" spans="2:26" x14ac:dyDescent="0.75">
      <c r="B26" s="59" t="s">
        <v>44</v>
      </c>
      <c r="C26" s="65">
        <v>352031.11899999995</v>
      </c>
      <c r="D26" s="65">
        <v>352012.17400000058</v>
      </c>
      <c r="E26" s="65">
        <v>351993.22899999935</v>
      </c>
      <c r="F26" s="65">
        <v>351992.03699999955</v>
      </c>
      <c r="G26" s="65">
        <v>351994.55700000003</v>
      </c>
      <c r="H26" s="65">
        <v>351993.95699999947</v>
      </c>
      <c r="I26" s="65">
        <v>351993.82899999991</v>
      </c>
      <c r="J26" s="65">
        <v>322264.42600000091</v>
      </c>
      <c r="K26" s="65">
        <v>322282.10600000061</v>
      </c>
      <c r="L26" s="65">
        <v>351749.49600000028</v>
      </c>
      <c r="M26" s="65">
        <v>351734.07599999942</v>
      </c>
      <c r="N26" s="65">
        <v>349815.73299999943</v>
      </c>
      <c r="O26" s="65">
        <v>349883.96779999975</v>
      </c>
      <c r="X26" t="s">
        <v>1</v>
      </c>
    </row>
    <row r="27" spans="2:26" x14ac:dyDescent="0.75">
      <c r="B27" s="59" t="s">
        <v>50</v>
      </c>
      <c r="C27" s="66">
        <v>930069</v>
      </c>
      <c r="D27" s="66">
        <v>931437.5</v>
      </c>
      <c r="E27" s="66">
        <v>932806</v>
      </c>
      <c r="F27" s="66">
        <v>929360</v>
      </c>
      <c r="G27" s="66">
        <v>949786</v>
      </c>
      <c r="H27" s="66">
        <v>900908</v>
      </c>
      <c r="I27" s="66">
        <v>900838</v>
      </c>
      <c r="J27" s="66">
        <v>906111</v>
      </c>
      <c r="K27" s="66">
        <v>860813</v>
      </c>
      <c r="L27" s="66">
        <v>917482</v>
      </c>
      <c r="M27" s="66">
        <v>969770</v>
      </c>
      <c r="N27" s="66">
        <v>978818</v>
      </c>
      <c r="O27" s="66">
        <v>942998</v>
      </c>
      <c r="X27" t="s">
        <v>24</v>
      </c>
      <c r="Y27" s="76">
        <v>4851715</v>
      </c>
      <c r="Z27" s="12"/>
    </row>
    <row r="28" spans="2:26" x14ac:dyDescent="0.75">
      <c r="B28" s="59" t="s">
        <v>52</v>
      </c>
      <c r="C28" s="66">
        <v>14377</v>
      </c>
      <c r="D28" s="66">
        <v>15367.6</v>
      </c>
      <c r="E28" s="66">
        <v>16358.2</v>
      </c>
      <c r="F28" s="66">
        <v>16721.900000000001</v>
      </c>
      <c r="G28" s="66">
        <v>16803.3</v>
      </c>
      <c r="H28" s="66">
        <v>16880.2</v>
      </c>
      <c r="I28" s="66">
        <v>16880.2</v>
      </c>
      <c r="J28" s="66">
        <v>17184</v>
      </c>
      <c r="K28" s="66">
        <v>16395.8</v>
      </c>
      <c r="L28" s="66">
        <v>17071.599999999999</v>
      </c>
      <c r="M28" s="66">
        <v>16376.6</v>
      </c>
      <c r="N28" s="66">
        <v>18278.400000000001</v>
      </c>
      <c r="O28" s="66">
        <v>21670.799999999999</v>
      </c>
    </row>
    <row r="29" spans="2:26" x14ac:dyDescent="0.75">
      <c r="B29" s="59" t="s">
        <v>54</v>
      </c>
      <c r="C29" s="66">
        <v>43462.3</v>
      </c>
      <c r="D29" s="66">
        <v>49012.800000000003</v>
      </c>
      <c r="E29" s="66">
        <v>54563.3</v>
      </c>
      <c r="F29" s="66">
        <v>54563.3</v>
      </c>
      <c r="G29" s="66">
        <v>65249.9</v>
      </c>
      <c r="H29" s="66">
        <v>65378.5</v>
      </c>
      <c r="I29" s="66">
        <v>65378.5</v>
      </c>
      <c r="J29" s="66">
        <v>65760.399999999994</v>
      </c>
      <c r="K29" s="66">
        <v>62139.3</v>
      </c>
      <c r="L29" s="66">
        <v>65070.9</v>
      </c>
      <c r="M29" s="66">
        <v>65343.8</v>
      </c>
      <c r="N29" s="66">
        <v>70691.7</v>
      </c>
      <c r="O29" s="66">
        <v>68599.7</v>
      </c>
    </row>
    <row r="30" spans="2:26" x14ac:dyDescent="0.75">
      <c r="B30" s="59" t="s">
        <v>115</v>
      </c>
      <c r="C30" s="66">
        <v>10931.7</v>
      </c>
      <c r="D30" s="66">
        <v>10931.7</v>
      </c>
      <c r="E30" s="66">
        <v>10931.7</v>
      </c>
      <c r="F30" s="66">
        <v>10931.7</v>
      </c>
      <c r="G30" s="66">
        <v>10973.6</v>
      </c>
      <c r="H30" s="66">
        <v>10973.6</v>
      </c>
      <c r="I30" s="66">
        <v>11043.9</v>
      </c>
      <c r="J30" s="66">
        <v>11463.2</v>
      </c>
      <c r="K30" s="66">
        <v>11458.9</v>
      </c>
      <c r="L30" s="66">
        <v>11388.1</v>
      </c>
      <c r="M30" s="66">
        <v>11388.1</v>
      </c>
      <c r="N30" s="66">
        <v>48795.199999999997</v>
      </c>
      <c r="O30" s="66">
        <v>45504.6</v>
      </c>
    </row>
    <row r="31" spans="2:26" x14ac:dyDescent="0.75">
      <c r="B31" s="59" t="s">
        <v>68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448.15699999999998</v>
      </c>
      <c r="O31" s="66">
        <v>79.672200000000004</v>
      </c>
    </row>
    <row r="32" spans="2:26" x14ac:dyDescent="0.75">
      <c r="B32" s="59" t="s">
        <v>58</v>
      </c>
      <c r="C32" s="66">
        <v>158.70400000000001</v>
      </c>
      <c r="D32" s="66">
        <v>158.70400000000001</v>
      </c>
      <c r="E32" s="66">
        <v>158.70400000000001</v>
      </c>
      <c r="F32" s="66">
        <v>158.70400000000001</v>
      </c>
      <c r="G32" s="66">
        <v>158.70400000000001</v>
      </c>
      <c r="H32" s="66">
        <v>158.70400000000001</v>
      </c>
      <c r="I32" s="66">
        <v>158.70400000000001</v>
      </c>
      <c r="J32" s="66">
        <v>158.70400000000001</v>
      </c>
      <c r="K32" s="66">
        <v>158.70400000000001</v>
      </c>
      <c r="L32" s="66">
        <v>158.70400000000001</v>
      </c>
      <c r="M32" s="66">
        <v>158.70400000000001</v>
      </c>
      <c r="N32" s="66">
        <v>175.21</v>
      </c>
      <c r="O32" s="66">
        <v>175</v>
      </c>
    </row>
    <row r="33" spans="2:49" x14ac:dyDescent="0.75">
      <c r="B33" s="59" t="s">
        <v>60</v>
      </c>
      <c r="C33" s="66">
        <v>36638</v>
      </c>
      <c r="D33" s="66">
        <v>41429.599999999999</v>
      </c>
      <c r="E33" s="66">
        <v>46221.2</v>
      </c>
      <c r="F33" s="66">
        <v>46221.2</v>
      </c>
      <c r="G33" s="66">
        <v>46221.2</v>
      </c>
      <c r="H33" s="66">
        <v>46221.2</v>
      </c>
      <c r="I33" s="66">
        <v>46221.2</v>
      </c>
      <c r="J33" s="66">
        <v>46440.4</v>
      </c>
      <c r="K33" s="66">
        <v>46440.4</v>
      </c>
      <c r="L33" s="66">
        <v>46151.8</v>
      </c>
      <c r="M33" s="66">
        <v>45503.7</v>
      </c>
      <c r="N33" s="66">
        <v>26525.599999999999</v>
      </c>
      <c r="O33" s="66">
        <v>25575</v>
      </c>
    </row>
    <row r="34" spans="2:49" x14ac:dyDescent="0.75">
      <c r="B34" s="59" t="s">
        <v>62</v>
      </c>
      <c r="C34" s="66">
        <v>394375</v>
      </c>
      <c r="D34" s="66">
        <v>456595.5</v>
      </c>
      <c r="E34" s="66">
        <v>518816</v>
      </c>
      <c r="F34" s="66">
        <v>521051</v>
      </c>
      <c r="G34" s="66">
        <v>527044</v>
      </c>
      <c r="H34" s="66">
        <v>527044</v>
      </c>
      <c r="I34" s="66">
        <v>527034</v>
      </c>
      <c r="J34" s="66">
        <v>530472</v>
      </c>
      <c r="K34" s="66">
        <v>529565</v>
      </c>
      <c r="L34" s="66">
        <v>516113</v>
      </c>
      <c r="M34" s="66">
        <v>554354</v>
      </c>
      <c r="N34" s="66">
        <v>532291</v>
      </c>
      <c r="O34" s="66">
        <v>437538</v>
      </c>
    </row>
    <row r="35" spans="2:49" x14ac:dyDescent="0.75">
      <c r="B35" s="67" t="s">
        <v>116</v>
      </c>
      <c r="C35" s="68">
        <f>SUM(C20:C34)</f>
        <v>2411318.6999999997</v>
      </c>
      <c r="D35" s="68">
        <f t="shared" ref="D35:O35" si="5">SUM(D20:D34)</f>
        <v>2586115.1000000006</v>
      </c>
      <c r="E35" s="68">
        <f t="shared" si="5"/>
        <v>2760911.4999999995</v>
      </c>
      <c r="F35" s="68">
        <f t="shared" si="5"/>
        <v>2780823.7999999993</v>
      </c>
      <c r="G35" s="68">
        <f t="shared" si="5"/>
        <v>2828047.1</v>
      </c>
      <c r="H35" s="68">
        <f t="shared" si="5"/>
        <v>2828664</v>
      </c>
      <c r="I35" s="68">
        <f t="shared" si="5"/>
        <v>2828955</v>
      </c>
      <c r="J35" s="68">
        <f t="shared" si="5"/>
        <v>2826782.6000000006</v>
      </c>
      <c r="K35" s="68">
        <f t="shared" si="5"/>
        <v>2874635.3</v>
      </c>
      <c r="L35" s="68">
        <f t="shared" si="5"/>
        <v>2897808.6</v>
      </c>
      <c r="M35" s="68">
        <f t="shared" si="5"/>
        <v>2902727.7999999993</v>
      </c>
      <c r="N35" s="68">
        <f t="shared" si="5"/>
        <v>2937465.1</v>
      </c>
      <c r="O35" s="68">
        <f t="shared" si="5"/>
        <v>2767158.4</v>
      </c>
    </row>
    <row r="36" spans="2:49" x14ac:dyDescent="0.75">
      <c r="B36" s="60" t="s">
        <v>118</v>
      </c>
      <c r="C36" s="103">
        <f t="shared" ref="C36:N36" si="6">(C35/(C14+C35))*100</f>
        <v>49.70033689118177</v>
      </c>
      <c r="D36" s="103">
        <f t="shared" si="6"/>
        <v>53.30311240458272</v>
      </c>
      <c r="E36" s="103">
        <f t="shared" si="6"/>
        <v>56.905887917983634</v>
      </c>
      <c r="F36" s="103">
        <f t="shared" si="6"/>
        <v>57.316305677476933</v>
      </c>
      <c r="G36" s="103">
        <f t="shared" si="6"/>
        <v>58.289637787875016</v>
      </c>
      <c r="H36" s="103">
        <f t="shared" si="6"/>
        <v>58.302352879342664</v>
      </c>
      <c r="I36" s="103">
        <f t="shared" si="6"/>
        <v>58.308350758443147</v>
      </c>
      <c r="J36" s="103">
        <f t="shared" si="6"/>
        <v>58.263574839000242</v>
      </c>
      <c r="K36" s="103">
        <f t="shared" si="6"/>
        <v>59.249879681720785</v>
      </c>
      <c r="L36" s="103">
        <f t="shared" si="6"/>
        <v>59.727510787422588</v>
      </c>
      <c r="M36" s="103">
        <f t="shared" si="6"/>
        <v>59.828901738869654</v>
      </c>
      <c r="N36" s="103">
        <f t="shared" si="6"/>
        <v>60.544881552193395</v>
      </c>
      <c r="O36" s="103">
        <f>(O35/(O14+O35))*100</f>
        <v>57.034644450467511</v>
      </c>
    </row>
    <row r="37" spans="2:49" x14ac:dyDescent="0.75">
      <c r="B37" s="60" t="s">
        <v>119</v>
      </c>
      <c r="C37" s="2"/>
      <c r="D37" s="68">
        <f>D35-C35</f>
        <v>174796.40000000084</v>
      </c>
      <c r="E37" s="68">
        <f t="shared" ref="E37:O37" si="7">E35-D35</f>
        <v>174796.39999999898</v>
      </c>
      <c r="F37" s="68">
        <f t="shared" si="7"/>
        <v>19912.299999999814</v>
      </c>
      <c r="G37" s="68">
        <f t="shared" si="7"/>
        <v>47223.300000000745</v>
      </c>
      <c r="H37" s="68">
        <f t="shared" si="7"/>
        <v>616.89999999990687</v>
      </c>
      <c r="I37" s="68">
        <f t="shared" si="7"/>
        <v>291</v>
      </c>
      <c r="J37" s="68">
        <f t="shared" si="7"/>
        <v>-2172.3999999994412</v>
      </c>
      <c r="K37" s="68">
        <f t="shared" si="7"/>
        <v>47852.699999999255</v>
      </c>
      <c r="L37" s="68">
        <f t="shared" si="7"/>
        <v>23173.300000000279</v>
      </c>
      <c r="M37" s="68">
        <f t="shared" si="7"/>
        <v>4919.1999999992549</v>
      </c>
      <c r="N37" s="68">
        <f t="shared" si="7"/>
        <v>34737.300000000745</v>
      </c>
      <c r="O37" s="68">
        <f t="shared" si="7"/>
        <v>-170306.70000000019</v>
      </c>
    </row>
    <row r="38" spans="2:49" x14ac:dyDescent="0.75">
      <c r="D38" s="98">
        <f t="shared" ref="D38:O38" si="8">(D35-C35)/C35</f>
        <v>7.2489961613121004E-2</v>
      </c>
      <c r="E38" s="98">
        <f t="shared" si="8"/>
        <v>6.7590340429936363E-2</v>
      </c>
      <c r="F38" s="98">
        <f t="shared" si="8"/>
        <v>7.212219587625252E-3</v>
      </c>
      <c r="G38" s="98">
        <f t="shared" si="8"/>
        <v>1.6981766338450052E-2</v>
      </c>
      <c r="H38" s="98">
        <f t="shared" si="8"/>
        <v>2.1813639525307299E-4</v>
      </c>
      <c r="I38" s="98">
        <f t="shared" si="8"/>
        <v>1.0287542104682634E-4</v>
      </c>
      <c r="J38" s="98">
        <f t="shared" si="8"/>
        <v>-7.6791606794715409E-4</v>
      </c>
      <c r="K38" s="98">
        <f t="shared" si="8"/>
        <v>1.6928326925459088E-2</v>
      </c>
      <c r="L38" s="98">
        <f t="shared" si="8"/>
        <v>8.061300854407611E-3</v>
      </c>
      <c r="M38" s="98">
        <f t="shared" si="8"/>
        <v>1.6975586310287211E-3</v>
      </c>
      <c r="N38" s="98">
        <f t="shared" si="8"/>
        <v>1.1967122787055938E-2</v>
      </c>
      <c r="O38" s="98">
        <f t="shared" si="8"/>
        <v>-5.7977437757473334E-2</v>
      </c>
    </row>
    <row r="39" spans="2:49" x14ac:dyDescent="0.75">
      <c r="D39" s="98">
        <f t="shared" ref="D39:O39" si="9">D38*100</f>
        <v>7.2489961613121006</v>
      </c>
      <c r="E39" s="98">
        <f t="shared" si="9"/>
        <v>6.759034042993636</v>
      </c>
      <c r="F39" s="98">
        <f t="shared" si="9"/>
        <v>0.72122195876252515</v>
      </c>
      <c r="G39" s="98">
        <f t="shared" si="9"/>
        <v>1.6981766338450051</v>
      </c>
      <c r="H39" s="98">
        <f t="shared" si="9"/>
        <v>2.18136395253073E-2</v>
      </c>
      <c r="I39" s="98">
        <f t="shared" si="9"/>
        <v>1.0287542104682634E-2</v>
      </c>
      <c r="J39" s="98">
        <f t="shared" si="9"/>
        <v>-7.6791606794715403E-2</v>
      </c>
      <c r="K39" s="98">
        <f t="shared" si="9"/>
        <v>1.6928326925459087</v>
      </c>
      <c r="L39" s="98">
        <f t="shared" si="9"/>
        <v>0.80613008544076115</v>
      </c>
      <c r="M39" s="98">
        <f t="shared" si="9"/>
        <v>0.16975586310287211</v>
      </c>
      <c r="N39" s="98">
        <f t="shared" si="9"/>
        <v>1.1967122787055937</v>
      </c>
      <c r="O39" s="98">
        <f t="shared" si="9"/>
        <v>-5.7977437757473336</v>
      </c>
    </row>
    <row r="41" spans="2:49" s="96" customFormat="1" ht="13.25" x14ac:dyDescent="0.65">
      <c r="B41" s="96" t="s">
        <v>120</v>
      </c>
    </row>
    <row r="42" spans="2:49" x14ac:dyDescent="0.75">
      <c r="B42" s="74" t="s">
        <v>122</v>
      </c>
    </row>
    <row r="43" spans="2:49" x14ac:dyDescent="0.75">
      <c r="B43" s="188" t="s">
        <v>110</v>
      </c>
      <c r="C43" s="185" t="s">
        <v>113</v>
      </c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79" t="s">
        <v>126</v>
      </c>
      <c r="Q43" s="180"/>
      <c r="R43" s="181"/>
      <c r="S43" s="175" t="s">
        <v>123</v>
      </c>
      <c r="T43" s="176"/>
      <c r="U43" s="100"/>
    </row>
    <row r="44" spans="2:49" x14ac:dyDescent="0.75">
      <c r="B44" s="189"/>
      <c r="C44" s="62">
        <v>1990</v>
      </c>
      <c r="D44" s="63">
        <v>1996</v>
      </c>
      <c r="E44" s="63">
        <v>2000</v>
      </c>
      <c r="F44" s="63">
        <v>2003</v>
      </c>
      <c r="G44" s="63">
        <v>2006</v>
      </c>
      <c r="H44" s="63">
        <v>2009</v>
      </c>
      <c r="I44" s="63">
        <v>2011</v>
      </c>
      <c r="J44" s="63">
        <v>2014</v>
      </c>
      <c r="K44" s="63">
        <v>2015</v>
      </c>
      <c r="L44" s="63">
        <v>2016</v>
      </c>
      <c r="M44" s="63">
        <v>2017</v>
      </c>
      <c r="N44" s="63">
        <v>2018</v>
      </c>
      <c r="O44" s="87">
        <v>2019</v>
      </c>
      <c r="P44" s="182"/>
      <c r="Q44" s="183"/>
      <c r="R44" s="184"/>
      <c r="S44" s="177"/>
      <c r="T44" s="178"/>
      <c r="U44" s="100"/>
    </row>
    <row r="45" spans="2:49" x14ac:dyDescent="0.75">
      <c r="B45" s="190"/>
      <c r="C45" s="61" t="s">
        <v>114</v>
      </c>
      <c r="D45" s="61" t="s">
        <v>114</v>
      </c>
      <c r="E45" s="61" t="s">
        <v>114</v>
      </c>
      <c r="F45" s="61" t="s">
        <v>114</v>
      </c>
      <c r="G45" s="61" t="s">
        <v>114</v>
      </c>
      <c r="H45" s="61" t="s">
        <v>114</v>
      </c>
      <c r="I45" s="61" t="s">
        <v>114</v>
      </c>
      <c r="J45" s="61" t="s">
        <v>114</v>
      </c>
      <c r="K45" s="61" t="s">
        <v>114</v>
      </c>
      <c r="L45" s="61" t="s">
        <v>114</v>
      </c>
      <c r="M45" s="61" t="s">
        <v>114</v>
      </c>
      <c r="N45" s="61" t="s">
        <v>114</v>
      </c>
      <c r="O45" s="61" t="s">
        <v>114</v>
      </c>
      <c r="P45" s="90" t="s">
        <v>127</v>
      </c>
      <c r="Q45" s="75" t="s">
        <v>128</v>
      </c>
      <c r="R45" s="91" t="s">
        <v>129</v>
      </c>
      <c r="S45" s="85" t="s">
        <v>124</v>
      </c>
      <c r="T45" s="75" t="s">
        <v>125</v>
      </c>
      <c r="U45" s="99"/>
      <c r="V45" s="75" t="s">
        <v>130</v>
      </c>
      <c r="W45" s="99"/>
    </row>
    <row r="46" spans="2:49" x14ac:dyDescent="0.75">
      <c r="B46" s="59" t="s">
        <v>26</v>
      </c>
      <c r="C46" s="80">
        <v>694737</v>
      </c>
      <c r="D46" s="80">
        <v>664756.5</v>
      </c>
      <c r="E46" s="80">
        <v>634776</v>
      </c>
      <c r="F46" s="80">
        <v>619004</v>
      </c>
      <c r="G46" s="80">
        <v>598828</v>
      </c>
      <c r="H46" s="80">
        <v>553728</v>
      </c>
      <c r="I46" s="80">
        <v>553098</v>
      </c>
      <c r="J46" s="80">
        <v>543670</v>
      </c>
      <c r="K46" s="80">
        <v>529715</v>
      </c>
      <c r="L46" s="80">
        <v>522977</v>
      </c>
      <c r="M46" s="80">
        <v>519144</v>
      </c>
      <c r="N46" s="80">
        <v>401879</v>
      </c>
      <c r="O46" s="88">
        <v>500359</v>
      </c>
      <c r="P46" s="92">
        <f>AO46</f>
        <v>8206.6666666666661</v>
      </c>
      <c r="Q46" s="79">
        <f>ABS(AN46)</f>
        <v>24404.833333333332</v>
      </c>
      <c r="R46" s="93">
        <f>P46-Q46</f>
        <v>-16198.166666666666</v>
      </c>
      <c r="S46" s="86">
        <f t="shared" ref="S46:S66" si="10">R46*12</f>
        <v>-194378</v>
      </c>
      <c r="T46" s="83">
        <f>100*S46/C46</f>
        <v>-27.978645156368525</v>
      </c>
      <c r="U46" s="101"/>
      <c r="V46" s="98">
        <f>100*S46/SUM($C$46:$C$66)</f>
        <v>-4.0063771264387951</v>
      </c>
      <c r="W46" s="98"/>
      <c r="X46" s="78">
        <f t="shared" ref="X46:X66" si="11">D46-C46</f>
        <v>-29980.5</v>
      </c>
      <c r="Y46" s="78">
        <f t="shared" ref="Y46:Y66" si="12">E46-D46</f>
        <v>-29980.5</v>
      </c>
      <c r="Z46" s="78">
        <f t="shared" ref="Z46:Z66" si="13">F46-E46</f>
        <v>-15772</v>
      </c>
      <c r="AA46" s="78">
        <f t="shared" ref="AA46:AA66" si="14">G46-F46</f>
        <v>-20176</v>
      </c>
      <c r="AB46" s="78">
        <f t="shared" ref="AB46:AB66" si="15">H46-G46</f>
        <v>-45100</v>
      </c>
      <c r="AC46" s="78">
        <f t="shared" ref="AC46:AC66" si="16">I46-H46</f>
        <v>-630</v>
      </c>
      <c r="AD46" s="78">
        <f t="shared" ref="AD46:AD66" si="17">J46-I46</f>
        <v>-9428</v>
      </c>
      <c r="AE46" s="78">
        <f t="shared" ref="AE46:AE66" si="18">K46-J46</f>
        <v>-13955</v>
      </c>
      <c r="AF46" s="78">
        <f t="shared" ref="AF46:AF66" si="19">L46-K46</f>
        <v>-6738</v>
      </c>
      <c r="AG46" s="78">
        <f t="shared" ref="AG46:AG66" si="20">M46-L46</f>
        <v>-3833</v>
      </c>
      <c r="AH46" s="78">
        <f t="shared" ref="AH46:AH66" si="21">N46-M46</f>
        <v>-117265</v>
      </c>
      <c r="AI46" s="78">
        <f t="shared" ref="AI46:AI66" si="22">O46-N46</f>
        <v>98480</v>
      </c>
      <c r="AJ46" s="78">
        <f t="shared" ref="AJ46:AJ65" si="23">SUMIF(X46:AI46,"&lt;0")</f>
        <v>-292858</v>
      </c>
      <c r="AK46" s="78">
        <f t="shared" ref="AK46:AK65" si="24">SUMIF(X46:AI46,"&gt;0")</f>
        <v>98480</v>
      </c>
      <c r="AL46" s="78">
        <f t="shared" ref="AL46:AL66" si="25">AJ46+AK46-(O46-C46)</f>
        <v>0</v>
      </c>
      <c r="AM46" s="78"/>
      <c r="AN46" s="78">
        <f>AJ46/12</f>
        <v>-24404.833333333332</v>
      </c>
      <c r="AO46" s="78">
        <f>AK46/12</f>
        <v>8206.6666666666661</v>
      </c>
      <c r="AP46" s="82">
        <f>AN46+AO46</f>
        <v>-16198.166666666666</v>
      </c>
      <c r="AQ46" s="82">
        <f t="shared" ref="AQ46:AQ66" si="26">((O46-C46)/12)-AP46</f>
        <v>0</v>
      </c>
      <c r="AS46" s="82"/>
      <c r="AT46" s="82"/>
      <c r="AU46" s="82"/>
      <c r="AV46" s="82"/>
      <c r="AW46" s="82"/>
    </row>
    <row r="47" spans="2:49" x14ac:dyDescent="0.75">
      <c r="B47" s="59" t="s">
        <v>28</v>
      </c>
      <c r="C47" s="80">
        <v>638049</v>
      </c>
      <c r="D47" s="80">
        <v>620772.5</v>
      </c>
      <c r="E47" s="80">
        <v>603496</v>
      </c>
      <c r="F47" s="80">
        <v>618381</v>
      </c>
      <c r="G47" s="80">
        <v>627494</v>
      </c>
      <c r="H47" s="80">
        <v>672086</v>
      </c>
      <c r="I47" s="80">
        <v>672425</v>
      </c>
      <c r="J47" s="80">
        <v>678803</v>
      </c>
      <c r="K47" s="80">
        <v>664888</v>
      </c>
      <c r="L47" s="80">
        <v>654663</v>
      </c>
      <c r="M47" s="80">
        <v>652518</v>
      </c>
      <c r="N47" s="80">
        <v>732934</v>
      </c>
      <c r="O47" s="88">
        <v>631295</v>
      </c>
      <c r="P47" s="92">
        <f t="shared" ref="P47:P66" si="27">AO47</f>
        <v>12976.916666666666</v>
      </c>
      <c r="Q47" s="79">
        <f t="shared" ref="Q47:Q66" si="28">ABS(AN47)</f>
        <v>13539.75</v>
      </c>
      <c r="R47" s="93">
        <f t="shared" ref="R47:R66" si="29">P47-Q47</f>
        <v>-562.83333333333394</v>
      </c>
      <c r="S47" s="86">
        <f t="shared" si="10"/>
        <v>-6754.0000000000073</v>
      </c>
      <c r="T47" s="83">
        <f t="shared" ref="T47:T66" si="30">100*S47/C47</f>
        <v>-1.0585393911752869</v>
      </c>
      <c r="U47" s="101"/>
      <c r="V47" s="98">
        <f t="shared" ref="V47:V66" si="31">100*S47/SUM($C$46:$C$66)</f>
        <v>-0.13920850668268864</v>
      </c>
      <c r="W47" s="98"/>
      <c r="X47" s="78">
        <f t="shared" si="11"/>
        <v>-17276.5</v>
      </c>
      <c r="Y47" s="78">
        <f t="shared" si="12"/>
        <v>-17276.5</v>
      </c>
      <c r="Z47" s="78">
        <f t="shared" si="13"/>
        <v>14885</v>
      </c>
      <c r="AA47" s="78">
        <f t="shared" si="14"/>
        <v>9113</v>
      </c>
      <c r="AB47" s="78">
        <f t="shared" si="15"/>
        <v>44592</v>
      </c>
      <c r="AC47" s="78">
        <f t="shared" si="16"/>
        <v>339</v>
      </c>
      <c r="AD47" s="78">
        <f t="shared" si="17"/>
        <v>6378</v>
      </c>
      <c r="AE47" s="78">
        <f t="shared" si="18"/>
        <v>-13915</v>
      </c>
      <c r="AF47" s="78">
        <f t="shared" si="19"/>
        <v>-10225</v>
      </c>
      <c r="AG47" s="78">
        <f t="shared" si="20"/>
        <v>-2145</v>
      </c>
      <c r="AH47" s="78">
        <f t="shared" si="21"/>
        <v>80416</v>
      </c>
      <c r="AI47" s="78">
        <f t="shared" si="22"/>
        <v>-101639</v>
      </c>
      <c r="AJ47" s="78">
        <f t="shared" si="23"/>
        <v>-162477</v>
      </c>
      <c r="AK47" s="78">
        <f t="shared" si="24"/>
        <v>155723</v>
      </c>
      <c r="AL47" s="78">
        <f t="shared" si="25"/>
        <v>0</v>
      </c>
      <c r="AM47" s="78"/>
      <c r="AN47" s="78">
        <f t="shared" ref="AN47:AN66" si="32">AJ47/12</f>
        <v>-13539.75</v>
      </c>
      <c r="AO47" s="78">
        <f t="shared" ref="AO47:AO66" si="33">AK47/12</f>
        <v>12976.916666666666</v>
      </c>
      <c r="AP47" s="82">
        <f t="shared" ref="AP47:AP66" si="34">AN47+AO47</f>
        <v>-562.83333333333394</v>
      </c>
      <c r="AQ47" s="82">
        <f t="shared" si="26"/>
        <v>0</v>
      </c>
      <c r="AS47" s="82"/>
      <c r="AT47" s="82"/>
      <c r="AU47" s="82"/>
      <c r="AV47" s="82"/>
      <c r="AW47" s="82"/>
    </row>
    <row r="48" spans="2:49" x14ac:dyDescent="0.75">
      <c r="B48" s="59" t="s">
        <v>30</v>
      </c>
      <c r="C48" s="79">
        <v>208727</v>
      </c>
      <c r="D48" s="79">
        <v>207345</v>
      </c>
      <c r="E48" s="79">
        <v>205963</v>
      </c>
      <c r="F48" s="79">
        <v>201768</v>
      </c>
      <c r="G48" s="79">
        <v>196510</v>
      </c>
      <c r="H48" s="79">
        <v>196510</v>
      </c>
      <c r="I48" s="79">
        <v>196510</v>
      </c>
      <c r="J48" s="79">
        <v>197808</v>
      </c>
      <c r="K48" s="79">
        <v>196758</v>
      </c>
      <c r="L48" s="79">
        <v>195162</v>
      </c>
      <c r="M48" s="79">
        <v>195007</v>
      </c>
      <c r="N48" s="79">
        <v>195660</v>
      </c>
      <c r="O48" s="84">
        <v>195384</v>
      </c>
      <c r="P48" s="92">
        <f t="shared" si="27"/>
        <v>162.58333333333334</v>
      </c>
      <c r="Q48" s="79">
        <f t="shared" si="28"/>
        <v>1274.5</v>
      </c>
      <c r="R48" s="93">
        <f t="shared" si="29"/>
        <v>-1111.9166666666667</v>
      </c>
      <c r="S48" s="86">
        <f t="shared" si="10"/>
        <v>-13343</v>
      </c>
      <c r="T48" s="83">
        <f t="shared" si="30"/>
        <v>-6.3925606174572529</v>
      </c>
      <c r="U48" s="101"/>
      <c r="V48" s="98">
        <f t="shared" si="31"/>
        <v>-0.27501615408159796</v>
      </c>
      <c r="W48" s="98"/>
      <c r="X48" s="78">
        <f t="shared" si="11"/>
        <v>-1382</v>
      </c>
      <c r="Y48" s="78">
        <f t="shared" si="12"/>
        <v>-1382</v>
      </c>
      <c r="Z48" s="78">
        <f t="shared" si="13"/>
        <v>-4195</v>
      </c>
      <c r="AA48" s="78">
        <f t="shared" si="14"/>
        <v>-5258</v>
      </c>
      <c r="AB48" s="78">
        <f t="shared" si="15"/>
        <v>0</v>
      </c>
      <c r="AC48" s="78">
        <f t="shared" si="16"/>
        <v>0</v>
      </c>
      <c r="AD48" s="78">
        <f t="shared" si="17"/>
        <v>1298</v>
      </c>
      <c r="AE48" s="78">
        <f t="shared" si="18"/>
        <v>-1050</v>
      </c>
      <c r="AF48" s="78">
        <f t="shared" si="19"/>
        <v>-1596</v>
      </c>
      <c r="AG48" s="78">
        <f t="shared" si="20"/>
        <v>-155</v>
      </c>
      <c r="AH48" s="78">
        <f t="shared" si="21"/>
        <v>653</v>
      </c>
      <c r="AI48" s="78">
        <f t="shared" si="22"/>
        <v>-276</v>
      </c>
      <c r="AJ48" s="78">
        <f t="shared" si="23"/>
        <v>-15294</v>
      </c>
      <c r="AK48" s="78">
        <f t="shared" si="24"/>
        <v>1951</v>
      </c>
      <c r="AL48" s="78">
        <f t="shared" si="25"/>
        <v>0</v>
      </c>
      <c r="AM48" s="78"/>
      <c r="AN48" s="78">
        <f t="shared" si="32"/>
        <v>-1274.5</v>
      </c>
      <c r="AO48" s="78">
        <f t="shared" si="33"/>
        <v>162.58333333333334</v>
      </c>
      <c r="AP48" s="82">
        <f t="shared" si="34"/>
        <v>-1111.9166666666667</v>
      </c>
      <c r="AQ48" s="82">
        <f t="shared" si="26"/>
        <v>0</v>
      </c>
      <c r="AS48" s="82"/>
      <c r="AT48" s="82"/>
      <c r="AU48" s="82"/>
      <c r="AV48" s="82"/>
      <c r="AW48" s="82"/>
    </row>
    <row r="49" spans="2:49" x14ac:dyDescent="0.75">
      <c r="B49" s="59" t="s">
        <v>46</v>
      </c>
      <c r="C49" s="79">
        <v>25345.3</v>
      </c>
      <c r="D49" s="79">
        <v>24208.9</v>
      </c>
      <c r="E49" s="79">
        <v>23072.5</v>
      </c>
      <c r="F49" s="79">
        <v>25776.2</v>
      </c>
      <c r="G49" s="79">
        <v>23677.9</v>
      </c>
      <c r="H49" s="79">
        <v>23574</v>
      </c>
      <c r="I49" s="79">
        <v>23574</v>
      </c>
      <c r="J49" s="79">
        <v>23675.4</v>
      </c>
      <c r="K49" s="79">
        <v>23520.7</v>
      </c>
      <c r="L49" s="79">
        <v>23876.400000000001</v>
      </c>
      <c r="M49" s="79">
        <v>23829.200000000001</v>
      </c>
      <c r="N49" s="79">
        <v>23931.9</v>
      </c>
      <c r="O49" s="84">
        <v>24059.599999999999</v>
      </c>
      <c r="P49" s="92">
        <f t="shared" si="27"/>
        <v>282.60000000000008</v>
      </c>
      <c r="Q49" s="79">
        <f t="shared" si="28"/>
        <v>389.74166666666679</v>
      </c>
      <c r="R49" s="93">
        <f t="shared" si="29"/>
        <v>-107.14166666666671</v>
      </c>
      <c r="S49" s="86">
        <f t="shared" si="10"/>
        <v>-1285.7000000000005</v>
      </c>
      <c r="T49" s="83">
        <f t="shared" si="30"/>
        <v>-5.0727353789459997</v>
      </c>
      <c r="U49" s="101"/>
      <c r="V49" s="98">
        <f t="shared" si="31"/>
        <v>-2.649990776457398E-2</v>
      </c>
      <c r="W49" s="98"/>
      <c r="X49" s="78">
        <f t="shared" si="11"/>
        <v>-1136.3999999999978</v>
      </c>
      <c r="Y49" s="78">
        <f t="shared" si="12"/>
        <v>-1136.4000000000015</v>
      </c>
      <c r="Z49" s="78">
        <f t="shared" si="13"/>
        <v>2703.7000000000007</v>
      </c>
      <c r="AA49" s="78">
        <f t="shared" si="14"/>
        <v>-2098.2999999999993</v>
      </c>
      <c r="AB49" s="78">
        <f t="shared" si="15"/>
        <v>-103.90000000000146</v>
      </c>
      <c r="AC49" s="78">
        <f t="shared" si="16"/>
        <v>0</v>
      </c>
      <c r="AD49" s="78">
        <f t="shared" si="17"/>
        <v>101.40000000000146</v>
      </c>
      <c r="AE49" s="78">
        <f t="shared" si="18"/>
        <v>-154.70000000000073</v>
      </c>
      <c r="AF49" s="78">
        <f t="shared" si="19"/>
        <v>355.70000000000073</v>
      </c>
      <c r="AG49" s="78">
        <f t="shared" si="20"/>
        <v>-47.200000000000728</v>
      </c>
      <c r="AH49" s="78">
        <f t="shared" si="21"/>
        <v>102.70000000000073</v>
      </c>
      <c r="AI49" s="78">
        <f t="shared" si="22"/>
        <v>127.69999999999709</v>
      </c>
      <c r="AJ49" s="78">
        <f t="shared" si="23"/>
        <v>-4676.9000000000015</v>
      </c>
      <c r="AK49" s="78">
        <f t="shared" si="24"/>
        <v>3391.2000000000007</v>
      </c>
      <c r="AL49" s="78">
        <f t="shared" si="25"/>
        <v>0</v>
      </c>
      <c r="AM49" s="78"/>
      <c r="AN49" s="78">
        <f t="shared" si="32"/>
        <v>-389.74166666666679</v>
      </c>
      <c r="AO49" s="78">
        <f t="shared" si="33"/>
        <v>282.60000000000008</v>
      </c>
      <c r="AP49" s="82">
        <f t="shared" si="34"/>
        <v>-107.14166666666671</v>
      </c>
      <c r="AQ49" s="82">
        <f t="shared" si="26"/>
        <v>0</v>
      </c>
      <c r="AS49" s="82"/>
      <c r="AT49" s="82"/>
      <c r="AU49" s="82"/>
      <c r="AV49" s="82"/>
      <c r="AW49" s="82"/>
    </row>
    <row r="50" spans="2:49" x14ac:dyDescent="0.75">
      <c r="B50" s="59" t="s">
        <v>32</v>
      </c>
      <c r="C50" s="81">
        <v>342429</v>
      </c>
      <c r="D50" s="81">
        <v>329304</v>
      </c>
      <c r="E50" s="81">
        <v>316179</v>
      </c>
      <c r="F50" s="81">
        <v>292789</v>
      </c>
      <c r="G50" s="81">
        <v>238249</v>
      </c>
      <c r="H50" s="81">
        <v>205343</v>
      </c>
      <c r="I50" s="81">
        <v>205343</v>
      </c>
      <c r="J50" s="81">
        <v>206530</v>
      </c>
      <c r="K50" s="81">
        <v>202799</v>
      </c>
      <c r="L50" s="81">
        <v>200958</v>
      </c>
      <c r="M50" s="81">
        <v>200400</v>
      </c>
      <c r="N50" s="81">
        <v>202694</v>
      </c>
      <c r="O50" s="89">
        <v>202193</v>
      </c>
      <c r="P50" s="92">
        <f t="shared" si="27"/>
        <v>290.08333333333331</v>
      </c>
      <c r="Q50" s="79">
        <f t="shared" si="28"/>
        <v>11976.416666666666</v>
      </c>
      <c r="R50" s="93">
        <f t="shared" si="29"/>
        <v>-11686.333333333332</v>
      </c>
      <c r="S50" s="86">
        <f t="shared" si="10"/>
        <v>-140236</v>
      </c>
      <c r="T50" s="83">
        <f t="shared" si="30"/>
        <v>-40.953307108918928</v>
      </c>
      <c r="U50" s="101"/>
      <c r="V50" s="98">
        <f t="shared" si="31"/>
        <v>-2.8904418334547679</v>
      </c>
      <c r="W50" s="98"/>
      <c r="X50" s="78">
        <f t="shared" si="11"/>
        <v>-13125</v>
      </c>
      <c r="Y50" s="78">
        <f t="shared" si="12"/>
        <v>-13125</v>
      </c>
      <c r="Z50" s="78">
        <f t="shared" si="13"/>
        <v>-23390</v>
      </c>
      <c r="AA50" s="78">
        <f t="shared" si="14"/>
        <v>-54540</v>
      </c>
      <c r="AB50" s="78">
        <f t="shared" si="15"/>
        <v>-32906</v>
      </c>
      <c r="AC50" s="78">
        <f t="shared" si="16"/>
        <v>0</v>
      </c>
      <c r="AD50" s="78">
        <f t="shared" si="17"/>
        <v>1187</v>
      </c>
      <c r="AE50" s="78">
        <f t="shared" si="18"/>
        <v>-3731</v>
      </c>
      <c r="AF50" s="78">
        <f t="shared" si="19"/>
        <v>-1841</v>
      </c>
      <c r="AG50" s="78">
        <f t="shared" si="20"/>
        <v>-558</v>
      </c>
      <c r="AH50" s="78">
        <f t="shared" si="21"/>
        <v>2294</v>
      </c>
      <c r="AI50" s="78">
        <f t="shared" si="22"/>
        <v>-501</v>
      </c>
      <c r="AJ50" s="78">
        <f t="shared" si="23"/>
        <v>-143717</v>
      </c>
      <c r="AK50" s="78">
        <f t="shared" si="24"/>
        <v>3481</v>
      </c>
      <c r="AL50" s="78">
        <f t="shared" si="25"/>
        <v>0</v>
      </c>
      <c r="AM50" s="78"/>
      <c r="AN50" s="78">
        <f t="shared" si="32"/>
        <v>-11976.416666666666</v>
      </c>
      <c r="AO50" s="78">
        <f t="shared" si="33"/>
        <v>290.08333333333331</v>
      </c>
      <c r="AP50" s="82">
        <f t="shared" si="34"/>
        <v>-11686.333333333332</v>
      </c>
      <c r="AQ50" s="82">
        <f t="shared" si="26"/>
        <v>0</v>
      </c>
      <c r="AS50" s="82"/>
      <c r="AT50" s="82"/>
      <c r="AU50" s="82"/>
      <c r="AV50" s="82"/>
      <c r="AW50" s="82"/>
    </row>
    <row r="51" spans="2:49" x14ac:dyDescent="0.75">
      <c r="B51" s="59" t="s">
        <v>48</v>
      </c>
      <c r="C51" s="81">
        <v>531109</v>
      </c>
      <c r="D51" s="81">
        <v>419213</v>
      </c>
      <c r="E51" s="81">
        <v>307317</v>
      </c>
      <c r="F51" s="81">
        <v>313173</v>
      </c>
      <c r="G51" s="81">
        <v>338909</v>
      </c>
      <c r="H51" s="81">
        <v>371810</v>
      </c>
      <c r="I51" s="81">
        <v>371810</v>
      </c>
      <c r="J51" s="81">
        <v>374446</v>
      </c>
      <c r="K51" s="81">
        <v>359399</v>
      </c>
      <c r="L51" s="81">
        <v>356270</v>
      </c>
      <c r="M51" s="81">
        <v>358089</v>
      </c>
      <c r="N51" s="81">
        <v>357151</v>
      </c>
      <c r="O51" s="89">
        <v>531266</v>
      </c>
      <c r="P51" s="92">
        <f t="shared" si="27"/>
        <v>20255.25</v>
      </c>
      <c r="Q51" s="79">
        <f t="shared" si="28"/>
        <v>20242.166666666668</v>
      </c>
      <c r="R51" s="93">
        <f t="shared" si="29"/>
        <v>13.083333333332121</v>
      </c>
      <c r="S51" s="86">
        <f t="shared" si="10"/>
        <v>156.99999999998545</v>
      </c>
      <c r="T51" s="83">
        <f t="shared" si="30"/>
        <v>2.9560786957100228E-2</v>
      </c>
      <c r="U51" s="101"/>
      <c r="V51" s="98">
        <f t="shared" si="31"/>
        <v>3.2359691366864183E-3</v>
      </c>
      <c r="W51" s="98"/>
      <c r="X51" s="78">
        <f t="shared" si="11"/>
        <v>-111896</v>
      </c>
      <c r="Y51" s="78">
        <f t="shared" si="12"/>
        <v>-111896</v>
      </c>
      <c r="Z51" s="78">
        <f t="shared" si="13"/>
        <v>5856</v>
      </c>
      <c r="AA51" s="78">
        <f t="shared" si="14"/>
        <v>25736</v>
      </c>
      <c r="AB51" s="78">
        <f t="shared" si="15"/>
        <v>32901</v>
      </c>
      <c r="AC51" s="78">
        <f t="shared" si="16"/>
        <v>0</v>
      </c>
      <c r="AD51" s="78">
        <f t="shared" si="17"/>
        <v>2636</v>
      </c>
      <c r="AE51" s="78">
        <f t="shared" si="18"/>
        <v>-15047</v>
      </c>
      <c r="AF51" s="78">
        <f t="shared" si="19"/>
        <v>-3129</v>
      </c>
      <c r="AG51" s="78">
        <f t="shared" si="20"/>
        <v>1819</v>
      </c>
      <c r="AH51" s="78">
        <f t="shared" si="21"/>
        <v>-938</v>
      </c>
      <c r="AI51" s="78">
        <f t="shared" si="22"/>
        <v>174115</v>
      </c>
      <c r="AJ51" s="78">
        <f t="shared" si="23"/>
        <v>-242906</v>
      </c>
      <c r="AK51" s="78">
        <f t="shared" si="24"/>
        <v>243063</v>
      </c>
      <c r="AL51" s="78">
        <f t="shared" si="25"/>
        <v>0</v>
      </c>
      <c r="AM51" s="78"/>
      <c r="AN51" s="78">
        <f t="shared" si="32"/>
        <v>-20242.166666666668</v>
      </c>
      <c r="AO51" s="78">
        <f t="shared" si="33"/>
        <v>20255.25</v>
      </c>
      <c r="AP51" s="82">
        <f t="shared" si="34"/>
        <v>13.083333333332121</v>
      </c>
      <c r="AQ51" s="82">
        <f t="shared" si="26"/>
        <v>1.2132517213103711E-12</v>
      </c>
      <c r="AS51" s="82"/>
      <c r="AT51" s="82"/>
      <c r="AU51" s="82"/>
      <c r="AV51" s="82"/>
      <c r="AW51" s="82"/>
    </row>
    <row r="52" spans="2:49" x14ac:dyDescent="0.75">
      <c r="B52" s="59" t="s">
        <v>34</v>
      </c>
      <c r="C52" s="79">
        <v>71945.899999999994</v>
      </c>
      <c r="D52" s="79">
        <v>124194.45</v>
      </c>
      <c r="E52" s="79">
        <v>176443</v>
      </c>
      <c r="F52" s="79">
        <v>177229</v>
      </c>
      <c r="G52" s="79">
        <v>178032</v>
      </c>
      <c r="H52" s="79">
        <v>178463</v>
      </c>
      <c r="I52" s="79">
        <v>177262</v>
      </c>
      <c r="J52" s="79">
        <v>174273</v>
      </c>
      <c r="K52" s="79">
        <v>169262</v>
      </c>
      <c r="L52" s="79">
        <v>166111</v>
      </c>
      <c r="M52" s="79">
        <v>170801</v>
      </c>
      <c r="N52" s="79">
        <v>169656</v>
      </c>
      <c r="O52" s="84">
        <v>129465</v>
      </c>
      <c r="P52" s="92">
        <f t="shared" si="27"/>
        <v>9267.2583333333332</v>
      </c>
      <c r="Q52" s="79">
        <f t="shared" si="28"/>
        <v>4474</v>
      </c>
      <c r="R52" s="93">
        <f t="shared" si="29"/>
        <v>4793.2583333333332</v>
      </c>
      <c r="S52" s="86">
        <f t="shared" si="10"/>
        <v>57519.1</v>
      </c>
      <c r="T52" s="83">
        <f t="shared" si="30"/>
        <v>79.947710710408799</v>
      </c>
      <c r="U52" s="101"/>
      <c r="V52" s="98">
        <f t="shared" si="31"/>
        <v>1.1855416074522103</v>
      </c>
      <c r="W52" s="98"/>
      <c r="X52" s="78">
        <f t="shared" si="11"/>
        <v>52248.55</v>
      </c>
      <c r="Y52" s="78">
        <f t="shared" si="12"/>
        <v>52248.55</v>
      </c>
      <c r="Z52" s="78">
        <f t="shared" si="13"/>
        <v>786</v>
      </c>
      <c r="AA52" s="78">
        <f t="shared" si="14"/>
        <v>803</v>
      </c>
      <c r="AB52" s="78">
        <f t="shared" si="15"/>
        <v>431</v>
      </c>
      <c r="AC52" s="78">
        <f t="shared" si="16"/>
        <v>-1201</v>
      </c>
      <c r="AD52" s="78">
        <f t="shared" si="17"/>
        <v>-2989</v>
      </c>
      <c r="AE52" s="78">
        <f t="shared" si="18"/>
        <v>-5011</v>
      </c>
      <c r="AF52" s="78">
        <f t="shared" si="19"/>
        <v>-3151</v>
      </c>
      <c r="AG52" s="78">
        <f t="shared" si="20"/>
        <v>4690</v>
      </c>
      <c r="AH52" s="78">
        <f t="shared" si="21"/>
        <v>-1145</v>
      </c>
      <c r="AI52" s="78">
        <f t="shared" si="22"/>
        <v>-40191</v>
      </c>
      <c r="AJ52" s="78">
        <f t="shared" si="23"/>
        <v>-53688</v>
      </c>
      <c r="AK52" s="78">
        <f t="shared" si="24"/>
        <v>111207.1</v>
      </c>
      <c r="AL52" s="78">
        <f t="shared" si="25"/>
        <v>0</v>
      </c>
      <c r="AM52" s="78"/>
      <c r="AN52" s="78">
        <f t="shared" si="32"/>
        <v>-4474</v>
      </c>
      <c r="AO52" s="78">
        <f t="shared" si="33"/>
        <v>9267.2583333333332</v>
      </c>
      <c r="AP52" s="82">
        <f t="shared" si="34"/>
        <v>4793.2583333333332</v>
      </c>
      <c r="AQ52" s="82">
        <f t="shared" si="26"/>
        <v>0</v>
      </c>
      <c r="AS52" s="82"/>
      <c r="AT52" s="82"/>
      <c r="AU52" s="82"/>
      <c r="AV52" s="82"/>
      <c r="AW52" s="82"/>
    </row>
    <row r="53" spans="2:49" x14ac:dyDescent="0.75">
      <c r="B53" s="59" t="s">
        <v>66</v>
      </c>
      <c r="C53" s="97">
        <v>0</v>
      </c>
      <c r="D53" s="79">
        <v>0</v>
      </c>
      <c r="E53" s="79">
        <v>0</v>
      </c>
      <c r="F53" s="79">
        <v>101.02200000000001</v>
      </c>
      <c r="G53" s="79">
        <v>101.02200000000001</v>
      </c>
      <c r="H53" s="79">
        <v>101.02200000000001</v>
      </c>
      <c r="I53" s="79">
        <v>1533.15</v>
      </c>
      <c r="J53" s="79">
        <v>16535</v>
      </c>
      <c r="K53" s="79">
        <v>19885</v>
      </c>
      <c r="L53" s="79">
        <v>27397.200000000001</v>
      </c>
      <c r="M53" s="79">
        <v>53856.800000000003</v>
      </c>
      <c r="N53" s="79">
        <v>80231.399999999994</v>
      </c>
      <c r="O53" s="84">
        <v>94358.6</v>
      </c>
      <c r="P53" s="92">
        <f t="shared" si="27"/>
        <v>7863.2166666666672</v>
      </c>
      <c r="Q53" s="79">
        <f t="shared" si="28"/>
        <v>0</v>
      </c>
      <c r="R53" s="93">
        <f t="shared" si="29"/>
        <v>7863.2166666666672</v>
      </c>
      <c r="S53" s="86">
        <f t="shared" si="10"/>
        <v>94358.6</v>
      </c>
      <c r="T53" s="94" t="e">
        <f t="shared" si="30"/>
        <v>#DIV/0!</v>
      </c>
      <c r="U53" s="101"/>
      <c r="V53" s="98">
        <f t="shared" si="31"/>
        <v>1.9448504291781359</v>
      </c>
      <c r="W53" s="98"/>
      <c r="X53" s="78">
        <f t="shared" si="11"/>
        <v>0</v>
      </c>
      <c r="Y53" s="78">
        <f t="shared" si="12"/>
        <v>0</v>
      </c>
      <c r="Z53" s="78">
        <f t="shared" si="13"/>
        <v>101.02200000000001</v>
      </c>
      <c r="AA53" s="78">
        <f t="shared" si="14"/>
        <v>0</v>
      </c>
      <c r="AB53" s="78">
        <f t="shared" si="15"/>
        <v>0</v>
      </c>
      <c r="AC53" s="78">
        <f t="shared" si="16"/>
        <v>1432.1280000000002</v>
      </c>
      <c r="AD53" s="78">
        <f t="shared" si="17"/>
        <v>15001.85</v>
      </c>
      <c r="AE53" s="78">
        <f t="shared" si="18"/>
        <v>3350</v>
      </c>
      <c r="AF53" s="78">
        <f t="shared" si="19"/>
        <v>7512.2000000000007</v>
      </c>
      <c r="AG53" s="78">
        <f t="shared" si="20"/>
        <v>26459.600000000002</v>
      </c>
      <c r="AH53" s="78">
        <f t="shared" si="21"/>
        <v>26374.599999999991</v>
      </c>
      <c r="AI53" s="78">
        <f t="shared" si="22"/>
        <v>14127.200000000012</v>
      </c>
      <c r="AJ53" s="78">
        <f t="shared" si="23"/>
        <v>0</v>
      </c>
      <c r="AK53" s="78">
        <f t="shared" si="24"/>
        <v>94358.6</v>
      </c>
      <c r="AL53" s="78">
        <f t="shared" si="25"/>
        <v>0</v>
      </c>
      <c r="AM53" s="78"/>
      <c r="AN53" s="78">
        <f t="shared" si="32"/>
        <v>0</v>
      </c>
      <c r="AO53" s="78">
        <f t="shared" si="33"/>
        <v>7863.2166666666672</v>
      </c>
      <c r="AP53" s="82">
        <f t="shared" si="34"/>
        <v>7863.2166666666672</v>
      </c>
      <c r="AQ53" s="82">
        <f t="shared" si="26"/>
        <v>0</v>
      </c>
      <c r="AS53" s="82"/>
      <c r="AT53" s="82"/>
      <c r="AU53" s="82"/>
      <c r="AV53" s="82"/>
      <c r="AW53" s="82"/>
    </row>
    <row r="54" spans="2:49" x14ac:dyDescent="0.75">
      <c r="B54" s="59" t="s">
        <v>36</v>
      </c>
      <c r="C54" s="79">
        <v>3159.73</v>
      </c>
      <c r="D54" s="79">
        <v>3365.5749999999998</v>
      </c>
      <c r="E54" s="79">
        <v>3571.42</v>
      </c>
      <c r="F54" s="79">
        <v>3667.19</v>
      </c>
      <c r="G54" s="79">
        <v>3890.97</v>
      </c>
      <c r="H54" s="79">
        <v>3890.97</v>
      </c>
      <c r="I54" s="79">
        <v>3890.97</v>
      </c>
      <c r="J54" s="79">
        <v>3916.67</v>
      </c>
      <c r="K54" s="79">
        <v>3653.09</v>
      </c>
      <c r="L54" s="79">
        <v>3878.1</v>
      </c>
      <c r="M54" s="79">
        <v>3480.02</v>
      </c>
      <c r="N54" s="79">
        <v>7216.4</v>
      </c>
      <c r="O54" s="84">
        <v>7089.96</v>
      </c>
      <c r="P54" s="92">
        <f t="shared" si="27"/>
        <v>393.19416666666666</v>
      </c>
      <c r="Q54" s="79">
        <f t="shared" si="28"/>
        <v>65.674999999999955</v>
      </c>
      <c r="R54" s="93">
        <f t="shared" si="29"/>
        <v>327.51916666666671</v>
      </c>
      <c r="S54" s="86">
        <f t="shared" si="10"/>
        <v>3930.2300000000005</v>
      </c>
      <c r="T54" s="83">
        <f t="shared" si="30"/>
        <v>124.38499492045209</v>
      </c>
      <c r="U54" s="101"/>
      <c r="V54" s="98">
        <f t="shared" si="31"/>
        <v>8.100702535082957E-2</v>
      </c>
      <c r="W54" s="98"/>
      <c r="X54" s="78">
        <f t="shared" si="11"/>
        <v>205.8449999999998</v>
      </c>
      <c r="Y54" s="78">
        <f t="shared" si="12"/>
        <v>205.84500000000025</v>
      </c>
      <c r="Z54" s="78">
        <f t="shared" si="13"/>
        <v>95.769999999999982</v>
      </c>
      <c r="AA54" s="78">
        <f t="shared" si="14"/>
        <v>223.77999999999975</v>
      </c>
      <c r="AB54" s="78">
        <f t="shared" si="15"/>
        <v>0</v>
      </c>
      <c r="AC54" s="78">
        <f t="shared" si="16"/>
        <v>0</v>
      </c>
      <c r="AD54" s="78">
        <f t="shared" si="17"/>
        <v>25.700000000000273</v>
      </c>
      <c r="AE54" s="78">
        <f t="shared" si="18"/>
        <v>-263.57999999999993</v>
      </c>
      <c r="AF54" s="78">
        <f t="shared" si="19"/>
        <v>225.00999999999976</v>
      </c>
      <c r="AG54" s="78">
        <f t="shared" si="20"/>
        <v>-398.07999999999993</v>
      </c>
      <c r="AH54" s="78">
        <f t="shared" si="21"/>
        <v>3736.3799999999997</v>
      </c>
      <c r="AI54" s="78">
        <f t="shared" si="22"/>
        <v>-126.4399999999996</v>
      </c>
      <c r="AJ54" s="78">
        <f t="shared" si="23"/>
        <v>-788.09999999999945</v>
      </c>
      <c r="AK54" s="78">
        <f t="shared" si="24"/>
        <v>4718.33</v>
      </c>
      <c r="AL54" s="78">
        <f t="shared" si="25"/>
        <v>0</v>
      </c>
      <c r="AM54" s="78"/>
      <c r="AN54" s="78">
        <f t="shared" si="32"/>
        <v>-65.674999999999955</v>
      </c>
      <c r="AO54" s="78">
        <f t="shared" si="33"/>
        <v>393.19416666666666</v>
      </c>
      <c r="AP54" s="82">
        <f t="shared" si="34"/>
        <v>327.51916666666671</v>
      </c>
      <c r="AQ54" s="82">
        <f t="shared" si="26"/>
        <v>0</v>
      </c>
      <c r="AS54" s="82"/>
      <c r="AT54" s="82"/>
      <c r="AU54" s="82"/>
      <c r="AV54" s="82"/>
      <c r="AW54" s="82"/>
    </row>
    <row r="55" spans="2:49" x14ac:dyDescent="0.75">
      <c r="B55" s="59" t="s">
        <v>38</v>
      </c>
      <c r="C55" s="79">
        <v>81713.600000000006</v>
      </c>
      <c r="D55" s="79">
        <v>51759.350000000006</v>
      </c>
      <c r="E55" s="79">
        <v>21805.1</v>
      </c>
      <c r="F55" s="79">
        <v>21805.1</v>
      </c>
      <c r="G55" s="79">
        <v>21853.200000000001</v>
      </c>
      <c r="H55" s="79">
        <v>21853.200000000001</v>
      </c>
      <c r="I55" s="79">
        <v>21912.9</v>
      </c>
      <c r="J55" s="79">
        <v>23500.799999999999</v>
      </c>
      <c r="K55" s="79">
        <v>263859</v>
      </c>
      <c r="L55" s="79">
        <v>75080.7</v>
      </c>
      <c r="M55" s="79">
        <v>56539</v>
      </c>
      <c r="N55" s="79">
        <v>77994.3</v>
      </c>
      <c r="O55" s="84">
        <v>88946.1</v>
      </c>
      <c r="P55" s="92">
        <f t="shared" si="27"/>
        <v>22871.75</v>
      </c>
      <c r="Q55" s="79">
        <f t="shared" si="28"/>
        <v>22269.041666666668</v>
      </c>
      <c r="R55" s="93">
        <f t="shared" si="29"/>
        <v>602.70833333333212</v>
      </c>
      <c r="S55" s="86">
        <f t="shared" si="10"/>
        <v>7232.4999999999854</v>
      </c>
      <c r="T55" s="83">
        <f t="shared" si="30"/>
        <v>8.8510358128879218</v>
      </c>
      <c r="U55" s="101"/>
      <c r="V55" s="98">
        <f t="shared" si="31"/>
        <v>0.1490709986056474</v>
      </c>
      <c r="W55" s="98"/>
      <c r="X55" s="78">
        <f t="shared" si="11"/>
        <v>-29954.25</v>
      </c>
      <c r="Y55" s="78">
        <f t="shared" si="12"/>
        <v>-29954.250000000007</v>
      </c>
      <c r="Z55" s="78">
        <f t="shared" si="13"/>
        <v>0</v>
      </c>
      <c r="AA55" s="78">
        <f t="shared" si="14"/>
        <v>48.100000000002183</v>
      </c>
      <c r="AB55" s="78">
        <f t="shared" si="15"/>
        <v>0</v>
      </c>
      <c r="AC55" s="78">
        <f t="shared" si="16"/>
        <v>59.700000000000728</v>
      </c>
      <c r="AD55" s="78">
        <f t="shared" si="17"/>
        <v>1587.8999999999978</v>
      </c>
      <c r="AE55" s="78">
        <f t="shared" si="18"/>
        <v>240358.2</v>
      </c>
      <c r="AF55" s="78">
        <f t="shared" si="19"/>
        <v>-188778.3</v>
      </c>
      <c r="AG55" s="78">
        <f t="shared" si="20"/>
        <v>-18541.699999999997</v>
      </c>
      <c r="AH55" s="78">
        <f t="shared" si="21"/>
        <v>21455.300000000003</v>
      </c>
      <c r="AI55" s="78">
        <f t="shared" si="22"/>
        <v>10951.800000000003</v>
      </c>
      <c r="AJ55" s="78">
        <f t="shared" si="23"/>
        <v>-267228.5</v>
      </c>
      <c r="AK55" s="78">
        <f t="shared" si="24"/>
        <v>274461</v>
      </c>
      <c r="AL55" s="78">
        <f t="shared" si="25"/>
        <v>0</v>
      </c>
      <c r="AM55" s="78"/>
      <c r="AN55" s="78">
        <f t="shared" si="32"/>
        <v>-22269.041666666668</v>
      </c>
      <c r="AO55" s="78">
        <f t="shared" si="33"/>
        <v>22871.75</v>
      </c>
      <c r="AP55" s="82">
        <f t="shared" si="34"/>
        <v>602.70833333333212</v>
      </c>
      <c r="AQ55" s="82">
        <f t="shared" si="26"/>
        <v>1.2505552149377763E-12</v>
      </c>
      <c r="AS55" s="82"/>
      <c r="AT55" s="82"/>
      <c r="AU55" s="82"/>
      <c r="AV55" s="82"/>
      <c r="AW55" s="82"/>
    </row>
    <row r="56" spans="2:49" x14ac:dyDescent="0.75">
      <c r="B56" s="59" t="s">
        <v>40</v>
      </c>
      <c r="C56" s="79">
        <v>763.64700000000005</v>
      </c>
      <c r="D56" s="79">
        <v>763.64700000000005</v>
      </c>
      <c r="E56" s="79">
        <v>763.64700000000005</v>
      </c>
      <c r="F56" s="79">
        <v>763.64700000000005</v>
      </c>
      <c r="G56" s="79">
        <v>763.64700000000005</v>
      </c>
      <c r="H56" s="79">
        <v>763.64700000000005</v>
      </c>
      <c r="I56" s="79">
        <v>763.64700000000005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84">
        <v>0</v>
      </c>
      <c r="P56" s="92">
        <f t="shared" si="27"/>
        <v>0</v>
      </c>
      <c r="Q56" s="79">
        <f t="shared" si="28"/>
        <v>63.637250000000002</v>
      </c>
      <c r="R56" s="93">
        <f t="shared" si="29"/>
        <v>-63.637250000000002</v>
      </c>
      <c r="S56" s="86">
        <f t="shared" si="10"/>
        <v>-763.64700000000005</v>
      </c>
      <c r="T56" s="83">
        <f t="shared" si="30"/>
        <v>-100.00000000000001</v>
      </c>
      <c r="U56" s="101"/>
      <c r="V56" s="98">
        <f t="shared" si="31"/>
        <v>-1.5739733269575812E-2</v>
      </c>
      <c r="W56" s="98"/>
      <c r="X56" s="78">
        <f t="shared" si="11"/>
        <v>0</v>
      </c>
      <c r="Y56" s="78">
        <f t="shared" si="12"/>
        <v>0</v>
      </c>
      <c r="Z56" s="78">
        <f t="shared" si="13"/>
        <v>0</v>
      </c>
      <c r="AA56" s="78">
        <f t="shared" si="14"/>
        <v>0</v>
      </c>
      <c r="AB56" s="78">
        <f t="shared" si="15"/>
        <v>0</v>
      </c>
      <c r="AC56" s="78">
        <f t="shared" si="16"/>
        <v>0</v>
      </c>
      <c r="AD56" s="78">
        <f t="shared" si="17"/>
        <v>-763.64700000000005</v>
      </c>
      <c r="AE56" s="78">
        <f t="shared" si="18"/>
        <v>0</v>
      </c>
      <c r="AF56" s="78">
        <f t="shared" si="19"/>
        <v>0</v>
      </c>
      <c r="AG56" s="78">
        <f t="shared" si="20"/>
        <v>0</v>
      </c>
      <c r="AH56" s="78">
        <f t="shared" si="21"/>
        <v>0</v>
      </c>
      <c r="AI56" s="78">
        <f t="shared" si="22"/>
        <v>0</v>
      </c>
      <c r="AJ56" s="78">
        <f t="shared" si="23"/>
        <v>-763.64700000000005</v>
      </c>
      <c r="AK56" s="78">
        <f t="shared" si="24"/>
        <v>0</v>
      </c>
      <c r="AL56" s="78">
        <f t="shared" si="25"/>
        <v>0</v>
      </c>
      <c r="AM56" s="78"/>
      <c r="AN56" s="78">
        <f t="shared" si="32"/>
        <v>-63.637250000000002</v>
      </c>
      <c r="AO56" s="78">
        <f t="shared" si="33"/>
        <v>0</v>
      </c>
      <c r="AP56" s="82">
        <f t="shared" si="34"/>
        <v>-63.637250000000002</v>
      </c>
      <c r="AQ56" s="82">
        <f t="shared" si="26"/>
        <v>0</v>
      </c>
      <c r="AS56" s="82"/>
      <c r="AT56" s="82"/>
      <c r="AU56" s="82"/>
      <c r="AV56" s="82"/>
      <c r="AW56" s="82"/>
    </row>
    <row r="57" spans="2:49" x14ac:dyDescent="0.75">
      <c r="B57" s="59" t="s">
        <v>42</v>
      </c>
      <c r="C57" s="79">
        <v>471693</v>
      </c>
      <c r="D57" s="79">
        <v>549086.5</v>
      </c>
      <c r="E57" s="79">
        <v>626480</v>
      </c>
      <c r="F57" s="79">
        <v>646258</v>
      </c>
      <c r="G57" s="79">
        <v>655175</v>
      </c>
      <c r="H57" s="79">
        <v>704034</v>
      </c>
      <c r="I57" s="79">
        <v>704044</v>
      </c>
      <c r="J57" s="79">
        <v>708703</v>
      </c>
      <c r="K57" s="79">
        <v>568723</v>
      </c>
      <c r="L57" s="79">
        <v>700156</v>
      </c>
      <c r="M57" s="79">
        <v>603422</v>
      </c>
      <c r="N57" s="79">
        <v>576528</v>
      </c>
      <c r="O57" s="84">
        <v>555274</v>
      </c>
      <c r="P57" s="92">
        <f t="shared" si="27"/>
        <v>30703.583333333332</v>
      </c>
      <c r="Q57" s="79">
        <f t="shared" si="28"/>
        <v>23738.5</v>
      </c>
      <c r="R57" s="93">
        <f t="shared" si="29"/>
        <v>6965.0833333333321</v>
      </c>
      <c r="S57" s="86">
        <f t="shared" si="10"/>
        <v>83580.999999999985</v>
      </c>
      <c r="T57" s="83">
        <f t="shared" si="30"/>
        <v>17.719364077906601</v>
      </c>
      <c r="U57" s="101"/>
      <c r="V57" s="98">
        <f t="shared" si="31"/>
        <v>1.7227104230153663</v>
      </c>
      <c r="W57" s="98"/>
      <c r="X57" s="78">
        <f t="shared" si="11"/>
        <v>77393.5</v>
      </c>
      <c r="Y57" s="78">
        <f t="shared" si="12"/>
        <v>77393.5</v>
      </c>
      <c r="Z57" s="78">
        <f t="shared" si="13"/>
        <v>19778</v>
      </c>
      <c r="AA57" s="78">
        <f t="shared" si="14"/>
        <v>8917</v>
      </c>
      <c r="AB57" s="78">
        <f t="shared" si="15"/>
        <v>48859</v>
      </c>
      <c r="AC57" s="78">
        <f t="shared" si="16"/>
        <v>10</v>
      </c>
      <c r="AD57" s="78">
        <f t="shared" si="17"/>
        <v>4659</v>
      </c>
      <c r="AE57" s="78">
        <f t="shared" si="18"/>
        <v>-139980</v>
      </c>
      <c r="AF57" s="78">
        <f t="shared" si="19"/>
        <v>131433</v>
      </c>
      <c r="AG57" s="78">
        <f t="shared" si="20"/>
        <v>-96734</v>
      </c>
      <c r="AH57" s="78">
        <f t="shared" si="21"/>
        <v>-26894</v>
      </c>
      <c r="AI57" s="78">
        <f t="shared" si="22"/>
        <v>-21254</v>
      </c>
      <c r="AJ57" s="78">
        <f t="shared" si="23"/>
        <v>-284862</v>
      </c>
      <c r="AK57" s="78">
        <f t="shared" si="24"/>
        <v>368443</v>
      </c>
      <c r="AL57" s="78">
        <f t="shared" si="25"/>
        <v>0</v>
      </c>
      <c r="AM57" s="78"/>
      <c r="AN57" s="78">
        <f t="shared" si="32"/>
        <v>-23738.5</v>
      </c>
      <c r="AO57" s="78">
        <f t="shared" si="33"/>
        <v>30703.583333333332</v>
      </c>
      <c r="AP57" s="82">
        <f t="shared" si="34"/>
        <v>6965.0833333333321</v>
      </c>
      <c r="AQ57" s="82">
        <f t="shared" si="26"/>
        <v>0</v>
      </c>
      <c r="AS57" s="82"/>
      <c r="AT57" s="82"/>
      <c r="AU57" s="82"/>
      <c r="AV57" s="82"/>
      <c r="AW57" s="82"/>
    </row>
    <row r="58" spans="2:49" x14ac:dyDescent="0.75">
      <c r="B58" s="59" t="s">
        <v>44</v>
      </c>
      <c r="C58" s="79">
        <v>352031.11899999995</v>
      </c>
      <c r="D58" s="79">
        <v>352012.17400000058</v>
      </c>
      <c r="E58" s="79">
        <v>351993.22899999935</v>
      </c>
      <c r="F58" s="79">
        <v>351992.03699999955</v>
      </c>
      <c r="G58" s="79">
        <v>351994.55700000003</v>
      </c>
      <c r="H58" s="79">
        <v>351993.95699999947</v>
      </c>
      <c r="I58" s="79">
        <v>351993.82899999991</v>
      </c>
      <c r="J58" s="79">
        <v>322264.42600000091</v>
      </c>
      <c r="K58" s="79">
        <v>322282.10600000061</v>
      </c>
      <c r="L58" s="79">
        <v>351749.49600000028</v>
      </c>
      <c r="M58" s="79">
        <v>351734.07599999942</v>
      </c>
      <c r="N58" s="79">
        <v>349815.73299999943</v>
      </c>
      <c r="O58" s="84">
        <v>349883.96779999975</v>
      </c>
      <c r="P58" s="92">
        <f t="shared" si="27"/>
        <v>2462.9854000000146</v>
      </c>
      <c r="Q58" s="79">
        <f t="shared" si="28"/>
        <v>2641.9146666666979</v>
      </c>
      <c r="R58" s="93">
        <f t="shared" si="29"/>
        <v>-178.92926666668336</v>
      </c>
      <c r="S58" s="86">
        <f t="shared" si="10"/>
        <v>-2147.1512000002003</v>
      </c>
      <c r="T58" s="83">
        <f t="shared" si="30"/>
        <v>-0.60993221454385127</v>
      </c>
      <c r="U58" s="101"/>
      <c r="V58" s="98">
        <f t="shared" si="31"/>
        <v>-4.42555096496847E-2</v>
      </c>
      <c r="W58" s="98"/>
      <c r="X58" s="78">
        <f t="shared" si="11"/>
        <v>-18.944999999366701</v>
      </c>
      <c r="Y58" s="78">
        <f t="shared" si="12"/>
        <v>-18.945000001229346</v>
      </c>
      <c r="Z58" s="78">
        <f t="shared" si="13"/>
        <v>-1.1919999998062849</v>
      </c>
      <c r="AA58" s="78">
        <f t="shared" si="14"/>
        <v>2.5200000004842877</v>
      </c>
      <c r="AB58" s="78">
        <f t="shared" si="15"/>
        <v>-0.60000000055879354</v>
      </c>
      <c r="AC58" s="78">
        <f t="shared" si="16"/>
        <v>-0.12799999956041574</v>
      </c>
      <c r="AD58" s="78">
        <f t="shared" si="17"/>
        <v>-29729.402999999002</v>
      </c>
      <c r="AE58" s="78">
        <f t="shared" si="18"/>
        <v>17.679999999701977</v>
      </c>
      <c r="AF58" s="78">
        <f t="shared" si="19"/>
        <v>29467.389999999665</v>
      </c>
      <c r="AG58" s="78">
        <f t="shared" si="20"/>
        <v>-15.420000000856817</v>
      </c>
      <c r="AH58" s="78">
        <f t="shared" si="21"/>
        <v>-1918.3429999999935</v>
      </c>
      <c r="AI58" s="78">
        <f t="shared" si="22"/>
        <v>68.234800000325777</v>
      </c>
      <c r="AJ58" s="78">
        <f t="shared" si="23"/>
        <v>-31702.976000000373</v>
      </c>
      <c r="AK58" s="78">
        <f t="shared" si="24"/>
        <v>29555.824800000177</v>
      </c>
      <c r="AL58" s="78">
        <f t="shared" si="25"/>
        <v>0</v>
      </c>
      <c r="AM58" s="78"/>
      <c r="AN58" s="78">
        <f t="shared" si="32"/>
        <v>-2641.9146666666979</v>
      </c>
      <c r="AO58" s="78">
        <f t="shared" si="33"/>
        <v>2462.9854000000146</v>
      </c>
      <c r="AP58" s="82">
        <f t="shared" si="34"/>
        <v>-178.92926666668336</v>
      </c>
      <c r="AQ58" s="82">
        <f t="shared" si="26"/>
        <v>3.1263880373444408E-13</v>
      </c>
      <c r="AS58" s="82"/>
      <c r="AT58" s="82"/>
      <c r="AU58" s="82"/>
      <c r="AV58" s="82"/>
      <c r="AW58" s="82"/>
    </row>
    <row r="59" spans="2:49" x14ac:dyDescent="0.75">
      <c r="B59" s="59" t="s">
        <v>50</v>
      </c>
      <c r="C59" s="81">
        <v>930069</v>
      </c>
      <c r="D59" s="81">
        <v>931437.5</v>
      </c>
      <c r="E59" s="81">
        <v>932806</v>
      </c>
      <c r="F59" s="81">
        <v>929360</v>
      </c>
      <c r="G59" s="81">
        <v>949786</v>
      </c>
      <c r="H59" s="81">
        <v>900908</v>
      </c>
      <c r="I59" s="81">
        <v>900838</v>
      </c>
      <c r="J59" s="81">
        <v>906111</v>
      </c>
      <c r="K59" s="81">
        <v>860813</v>
      </c>
      <c r="L59" s="81">
        <v>917482</v>
      </c>
      <c r="M59" s="81">
        <v>969770</v>
      </c>
      <c r="N59" s="81">
        <v>978818</v>
      </c>
      <c r="O59" s="89">
        <v>942998</v>
      </c>
      <c r="P59" s="92">
        <f t="shared" si="27"/>
        <v>12203.416666666666</v>
      </c>
      <c r="Q59" s="79">
        <f t="shared" si="28"/>
        <v>11126</v>
      </c>
      <c r="R59" s="93">
        <f t="shared" si="29"/>
        <v>1077.4166666666661</v>
      </c>
      <c r="S59" s="86">
        <f t="shared" si="10"/>
        <v>12928.999999999993</v>
      </c>
      <c r="T59" s="83">
        <f t="shared" si="30"/>
        <v>1.3901119164277052</v>
      </c>
      <c r="U59" s="101"/>
      <c r="V59" s="98">
        <f t="shared" si="31"/>
        <v>0.2664830889695704</v>
      </c>
      <c r="W59" s="98"/>
      <c r="X59" s="78">
        <f t="shared" si="11"/>
        <v>1368.5</v>
      </c>
      <c r="Y59" s="78">
        <f t="shared" si="12"/>
        <v>1368.5</v>
      </c>
      <c r="Z59" s="78">
        <f t="shared" si="13"/>
        <v>-3446</v>
      </c>
      <c r="AA59" s="78">
        <f t="shared" si="14"/>
        <v>20426</v>
      </c>
      <c r="AB59" s="78">
        <f t="shared" si="15"/>
        <v>-48878</v>
      </c>
      <c r="AC59" s="78">
        <f t="shared" si="16"/>
        <v>-70</v>
      </c>
      <c r="AD59" s="78">
        <f t="shared" si="17"/>
        <v>5273</v>
      </c>
      <c r="AE59" s="78">
        <f t="shared" si="18"/>
        <v>-45298</v>
      </c>
      <c r="AF59" s="78">
        <f t="shared" si="19"/>
        <v>56669</v>
      </c>
      <c r="AG59" s="78">
        <f t="shared" si="20"/>
        <v>52288</v>
      </c>
      <c r="AH59" s="78">
        <f t="shared" si="21"/>
        <v>9048</v>
      </c>
      <c r="AI59" s="78">
        <f t="shared" si="22"/>
        <v>-35820</v>
      </c>
      <c r="AJ59" s="78">
        <f t="shared" si="23"/>
        <v>-133512</v>
      </c>
      <c r="AK59" s="78">
        <f t="shared" si="24"/>
        <v>146441</v>
      </c>
      <c r="AL59" s="78">
        <f t="shared" si="25"/>
        <v>0</v>
      </c>
      <c r="AM59" s="78"/>
      <c r="AN59" s="78">
        <f t="shared" si="32"/>
        <v>-11126</v>
      </c>
      <c r="AO59" s="78">
        <f t="shared" si="33"/>
        <v>12203.416666666666</v>
      </c>
      <c r="AP59" s="82">
        <f t="shared" si="34"/>
        <v>1077.4166666666661</v>
      </c>
      <c r="AQ59" s="82">
        <f t="shared" si="26"/>
        <v>0</v>
      </c>
      <c r="AS59" s="82"/>
      <c r="AT59" s="82"/>
      <c r="AU59" s="82"/>
      <c r="AV59" s="82"/>
      <c r="AW59" s="82"/>
    </row>
    <row r="60" spans="2:49" x14ac:dyDescent="0.75">
      <c r="B60" s="59" t="s">
        <v>52</v>
      </c>
      <c r="C60" s="81">
        <v>14377</v>
      </c>
      <c r="D60" s="81">
        <v>15367.6</v>
      </c>
      <c r="E60" s="81">
        <v>16358.2</v>
      </c>
      <c r="F60" s="81">
        <v>16721.900000000001</v>
      </c>
      <c r="G60" s="81">
        <v>16803.3</v>
      </c>
      <c r="H60" s="81">
        <v>16880.2</v>
      </c>
      <c r="I60" s="81">
        <v>16880.2</v>
      </c>
      <c r="J60" s="81">
        <v>17184</v>
      </c>
      <c r="K60" s="81">
        <v>16395.8</v>
      </c>
      <c r="L60" s="81">
        <v>17071.599999999999</v>
      </c>
      <c r="M60" s="81">
        <v>16376.6</v>
      </c>
      <c r="N60" s="81">
        <v>18278.400000000001</v>
      </c>
      <c r="O60" s="89">
        <v>21670.799999999999</v>
      </c>
      <c r="P60" s="92">
        <f t="shared" si="27"/>
        <v>731.41666666666652</v>
      </c>
      <c r="Q60" s="79">
        <f t="shared" si="28"/>
        <v>123.59999999999991</v>
      </c>
      <c r="R60" s="93">
        <f t="shared" si="29"/>
        <v>607.81666666666661</v>
      </c>
      <c r="S60" s="86">
        <f t="shared" si="10"/>
        <v>7293.7999999999993</v>
      </c>
      <c r="T60" s="83">
        <f t="shared" si="30"/>
        <v>50.73241983724003</v>
      </c>
      <c r="U60" s="101"/>
      <c r="V60" s="98">
        <f t="shared" si="31"/>
        <v>0.15033446935774256</v>
      </c>
      <c r="W60" s="98"/>
      <c r="X60" s="78">
        <f t="shared" si="11"/>
        <v>990.60000000000036</v>
      </c>
      <c r="Y60" s="78">
        <f t="shared" si="12"/>
        <v>990.60000000000036</v>
      </c>
      <c r="Z60" s="78">
        <f t="shared" si="13"/>
        <v>363.70000000000073</v>
      </c>
      <c r="AA60" s="78">
        <f t="shared" si="14"/>
        <v>81.399999999997817</v>
      </c>
      <c r="AB60" s="78">
        <f t="shared" si="15"/>
        <v>76.900000000001455</v>
      </c>
      <c r="AC60" s="78">
        <f t="shared" si="16"/>
        <v>0</v>
      </c>
      <c r="AD60" s="78">
        <f t="shared" si="17"/>
        <v>303.79999999999927</v>
      </c>
      <c r="AE60" s="78">
        <f t="shared" si="18"/>
        <v>-788.20000000000073</v>
      </c>
      <c r="AF60" s="78">
        <f t="shared" si="19"/>
        <v>675.79999999999927</v>
      </c>
      <c r="AG60" s="78">
        <f t="shared" si="20"/>
        <v>-694.99999999999818</v>
      </c>
      <c r="AH60" s="78">
        <f t="shared" si="21"/>
        <v>1901.8000000000011</v>
      </c>
      <c r="AI60" s="78">
        <f t="shared" si="22"/>
        <v>3392.3999999999978</v>
      </c>
      <c r="AJ60" s="78">
        <f t="shared" si="23"/>
        <v>-1483.1999999999989</v>
      </c>
      <c r="AK60" s="78">
        <f t="shared" si="24"/>
        <v>8776.9999999999982</v>
      </c>
      <c r="AL60" s="78">
        <f t="shared" si="25"/>
        <v>0</v>
      </c>
      <c r="AM60" s="78"/>
      <c r="AN60" s="78">
        <f t="shared" si="32"/>
        <v>-123.59999999999991</v>
      </c>
      <c r="AO60" s="78">
        <f t="shared" si="33"/>
        <v>731.41666666666652</v>
      </c>
      <c r="AP60" s="82">
        <f t="shared" si="34"/>
        <v>607.81666666666661</v>
      </c>
      <c r="AQ60" s="82">
        <f t="shared" si="26"/>
        <v>0</v>
      </c>
      <c r="AS60" s="82"/>
      <c r="AT60" s="82"/>
      <c r="AU60" s="82"/>
      <c r="AV60" s="82"/>
      <c r="AW60" s="82"/>
    </row>
    <row r="61" spans="2:49" x14ac:dyDescent="0.75">
      <c r="B61" s="59" t="s">
        <v>54</v>
      </c>
      <c r="C61" s="81">
        <v>43462.3</v>
      </c>
      <c r="D61" s="81">
        <v>49012.800000000003</v>
      </c>
      <c r="E61" s="81">
        <v>54563.3</v>
      </c>
      <c r="F61" s="81">
        <v>54563.3</v>
      </c>
      <c r="G61" s="81">
        <v>65249.9</v>
      </c>
      <c r="H61" s="81">
        <v>65378.5</v>
      </c>
      <c r="I61" s="81">
        <v>65378.5</v>
      </c>
      <c r="J61" s="81">
        <v>65760.399999999994</v>
      </c>
      <c r="K61" s="81">
        <v>62139.3</v>
      </c>
      <c r="L61" s="81">
        <v>65070.9</v>
      </c>
      <c r="M61" s="81">
        <v>65343.8</v>
      </c>
      <c r="N61" s="81">
        <v>70691.7</v>
      </c>
      <c r="O61" s="89">
        <v>68599.7</v>
      </c>
      <c r="P61" s="92">
        <f t="shared" si="27"/>
        <v>2570.8749999999986</v>
      </c>
      <c r="Q61" s="79">
        <f t="shared" si="28"/>
        <v>476.09166666666596</v>
      </c>
      <c r="R61" s="93">
        <f t="shared" si="29"/>
        <v>2094.7833333333328</v>
      </c>
      <c r="S61" s="86">
        <f t="shared" si="10"/>
        <v>25137.399999999994</v>
      </c>
      <c r="T61" s="83">
        <f t="shared" si="30"/>
        <v>57.837252055229463</v>
      </c>
      <c r="U61" s="101"/>
      <c r="V61" s="98">
        <f t="shared" si="31"/>
        <v>0.51811369793980055</v>
      </c>
      <c r="W61" s="98"/>
      <c r="X61" s="78">
        <f t="shared" si="11"/>
        <v>5550.5</v>
      </c>
      <c r="Y61" s="78">
        <f t="shared" si="12"/>
        <v>5550.5</v>
      </c>
      <c r="Z61" s="78">
        <f t="shared" si="13"/>
        <v>0</v>
      </c>
      <c r="AA61" s="78">
        <f t="shared" si="14"/>
        <v>10686.599999999999</v>
      </c>
      <c r="AB61" s="78">
        <f t="shared" si="15"/>
        <v>128.59999999999854</v>
      </c>
      <c r="AC61" s="78">
        <f t="shared" si="16"/>
        <v>0</v>
      </c>
      <c r="AD61" s="78">
        <f t="shared" si="17"/>
        <v>381.89999999999418</v>
      </c>
      <c r="AE61" s="78">
        <f t="shared" si="18"/>
        <v>-3621.0999999999913</v>
      </c>
      <c r="AF61" s="78">
        <f t="shared" si="19"/>
        <v>2931.5999999999985</v>
      </c>
      <c r="AG61" s="78">
        <f t="shared" si="20"/>
        <v>272.90000000000146</v>
      </c>
      <c r="AH61" s="78">
        <f t="shared" si="21"/>
        <v>5347.8999999999942</v>
      </c>
      <c r="AI61" s="78">
        <f t="shared" si="22"/>
        <v>-2092</v>
      </c>
      <c r="AJ61" s="78">
        <f t="shared" si="23"/>
        <v>-5713.0999999999913</v>
      </c>
      <c r="AK61" s="78">
        <f t="shared" si="24"/>
        <v>30850.499999999985</v>
      </c>
      <c r="AL61" s="78">
        <f t="shared" si="25"/>
        <v>0</v>
      </c>
      <c r="AM61" s="78"/>
      <c r="AN61" s="78">
        <f t="shared" si="32"/>
        <v>-476.09166666666596</v>
      </c>
      <c r="AO61" s="78">
        <f t="shared" si="33"/>
        <v>2570.8749999999986</v>
      </c>
      <c r="AP61" s="82">
        <f t="shared" si="34"/>
        <v>2094.7833333333328</v>
      </c>
      <c r="AQ61" s="82">
        <f t="shared" si="26"/>
        <v>0</v>
      </c>
      <c r="AS61" s="82"/>
      <c r="AT61" s="82"/>
      <c r="AU61" s="82"/>
      <c r="AV61" s="82"/>
      <c r="AW61" s="82"/>
    </row>
    <row r="62" spans="2:49" x14ac:dyDescent="0.75">
      <c r="B62" s="59" t="s">
        <v>115</v>
      </c>
      <c r="C62" s="81">
        <v>10931.7</v>
      </c>
      <c r="D62" s="81">
        <v>10931.7</v>
      </c>
      <c r="E62" s="81">
        <v>10931.7</v>
      </c>
      <c r="F62" s="81">
        <v>10931.7</v>
      </c>
      <c r="G62" s="81">
        <v>10973.6</v>
      </c>
      <c r="H62" s="81">
        <v>10973.6</v>
      </c>
      <c r="I62" s="81">
        <v>11043.9</v>
      </c>
      <c r="J62" s="81">
        <v>11463.2</v>
      </c>
      <c r="K62" s="81">
        <v>11458.9</v>
      </c>
      <c r="L62" s="81">
        <v>11388.1</v>
      </c>
      <c r="M62" s="81">
        <v>11388.1</v>
      </c>
      <c r="N62" s="81">
        <v>48795.199999999997</v>
      </c>
      <c r="O62" s="89">
        <v>45504.6</v>
      </c>
      <c r="P62" s="92">
        <f t="shared" si="27"/>
        <v>3161.5499999999997</v>
      </c>
      <c r="Q62" s="79">
        <f t="shared" si="28"/>
        <v>280.47499999999991</v>
      </c>
      <c r="R62" s="93">
        <f t="shared" si="29"/>
        <v>2881.0749999999998</v>
      </c>
      <c r="S62" s="86">
        <f t="shared" si="10"/>
        <v>34572.899999999994</v>
      </c>
      <c r="T62" s="83">
        <f t="shared" si="30"/>
        <v>316.26279535662331</v>
      </c>
      <c r="U62" s="101"/>
      <c r="V62" s="98">
        <f t="shared" si="31"/>
        <v>0.71259132080099497</v>
      </c>
      <c r="W62" s="98"/>
      <c r="X62" s="78">
        <f t="shared" si="11"/>
        <v>0</v>
      </c>
      <c r="Y62" s="78">
        <f t="shared" si="12"/>
        <v>0</v>
      </c>
      <c r="Z62" s="78">
        <f t="shared" si="13"/>
        <v>0</v>
      </c>
      <c r="AA62" s="78">
        <f t="shared" si="14"/>
        <v>41.899999999999636</v>
      </c>
      <c r="AB62" s="78">
        <f t="shared" si="15"/>
        <v>0</v>
      </c>
      <c r="AC62" s="78">
        <f t="shared" si="16"/>
        <v>70.299999999999272</v>
      </c>
      <c r="AD62" s="78">
        <f t="shared" si="17"/>
        <v>419.30000000000109</v>
      </c>
      <c r="AE62" s="78">
        <f t="shared" si="18"/>
        <v>-4.3000000000010914</v>
      </c>
      <c r="AF62" s="78">
        <f t="shared" si="19"/>
        <v>-70.799999999999272</v>
      </c>
      <c r="AG62" s="78">
        <f t="shared" si="20"/>
        <v>0</v>
      </c>
      <c r="AH62" s="78">
        <f t="shared" si="21"/>
        <v>37407.1</v>
      </c>
      <c r="AI62" s="78">
        <f t="shared" si="22"/>
        <v>-3290.5999999999985</v>
      </c>
      <c r="AJ62" s="78">
        <f t="shared" si="23"/>
        <v>-3365.6999999999989</v>
      </c>
      <c r="AK62" s="78">
        <f t="shared" si="24"/>
        <v>37938.6</v>
      </c>
      <c r="AL62" s="78">
        <f t="shared" si="25"/>
        <v>0</v>
      </c>
      <c r="AM62" s="78"/>
      <c r="AN62" s="78">
        <f t="shared" si="32"/>
        <v>-280.47499999999991</v>
      </c>
      <c r="AO62" s="78">
        <f t="shared" si="33"/>
        <v>3161.5499999999997</v>
      </c>
      <c r="AP62" s="82">
        <f t="shared" si="34"/>
        <v>2881.0749999999998</v>
      </c>
      <c r="AQ62" s="82">
        <f t="shared" si="26"/>
        <v>0</v>
      </c>
      <c r="AS62" s="82"/>
      <c r="AT62" s="82"/>
      <c r="AU62" s="82"/>
      <c r="AV62" s="82"/>
      <c r="AW62" s="82"/>
    </row>
    <row r="63" spans="2:49" x14ac:dyDescent="0.75">
      <c r="B63" s="59" t="s">
        <v>68</v>
      </c>
      <c r="C63" s="97">
        <v>0</v>
      </c>
      <c r="D63" s="81">
        <v>0</v>
      </c>
      <c r="E63" s="81">
        <v>0</v>
      </c>
      <c r="F63" s="81">
        <v>0</v>
      </c>
      <c r="G63" s="81">
        <v>0</v>
      </c>
      <c r="H63" s="81">
        <v>0</v>
      </c>
      <c r="I63" s="81">
        <v>0</v>
      </c>
      <c r="J63" s="81">
        <v>0</v>
      </c>
      <c r="K63" s="81">
        <v>0</v>
      </c>
      <c r="L63" s="81">
        <v>0</v>
      </c>
      <c r="M63" s="81">
        <v>0</v>
      </c>
      <c r="N63" s="81">
        <v>448.15699999999998</v>
      </c>
      <c r="O63" s="89">
        <v>79.672200000000004</v>
      </c>
      <c r="P63" s="92">
        <f t="shared" si="27"/>
        <v>37.346416666666663</v>
      </c>
      <c r="Q63" s="79">
        <f t="shared" si="28"/>
        <v>30.707066666666663</v>
      </c>
      <c r="R63" s="93">
        <f t="shared" si="29"/>
        <v>6.6393500000000003</v>
      </c>
      <c r="S63" s="86">
        <f t="shared" si="10"/>
        <v>79.672200000000004</v>
      </c>
      <c r="T63" s="94" t="e">
        <f t="shared" si="30"/>
        <v>#DIV/0!</v>
      </c>
      <c r="U63" s="101"/>
      <c r="V63" s="98">
        <f t="shared" si="31"/>
        <v>1.6421450971460607E-3</v>
      </c>
      <c r="W63" s="98"/>
      <c r="X63" s="78">
        <f t="shared" si="11"/>
        <v>0</v>
      </c>
      <c r="Y63" s="78">
        <f t="shared" si="12"/>
        <v>0</v>
      </c>
      <c r="Z63" s="78">
        <f t="shared" si="13"/>
        <v>0</v>
      </c>
      <c r="AA63" s="78">
        <f t="shared" si="14"/>
        <v>0</v>
      </c>
      <c r="AB63" s="78">
        <f t="shared" si="15"/>
        <v>0</v>
      </c>
      <c r="AC63" s="78">
        <f t="shared" si="16"/>
        <v>0</v>
      </c>
      <c r="AD63" s="78">
        <f t="shared" si="17"/>
        <v>0</v>
      </c>
      <c r="AE63" s="78">
        <f t="shared" si="18"/>
        <v>0</v>
      </c>
      <c r="AF63" s="78">
        <f t="shared" si="19"/>
        <v>0</v>
      </c>
      <c r="AG63" s="78">
        <f t="shared" si="20"/>
        <v>0</v>
      </c>
      <c r="AH63" s="78">
        <f t="shared" si="21"/>
        <v>448.15699999999998</v>
      </c>
      <c r="AI63" s="78">
        <f t="shared" si="22"/>
        <v>-368.48479999999995</v>
      </c>
      <c r="AJ63" s="78">
        <f t="shared" si="23"/>
        <v>-368.48479999999995</v>
      </c>
      <c r="AK63" s="78">
        <f t="shared" si="24"/>
        <v>448.15699999999998</v>
      </c>
      <c r="AL63" s="78">
        <f t="shared" si="25"/>
        <v>0</v>
      </c>
      <c r="AM63" s="78"/>
      <c r="AN63" s="78">
        <f t="shared" si="32"/>
        <v>-30.707066666666663</v>
      </c>
      <c r="AO63" s="78">
        <f t="shared" si="33"/>
        <v>37.346416666666663</v>
      </c>
      <c r="AP63" s="82">
        <f t="shared" si="34"/>
        <v>6.6393500000000003</v>
      </c>
      <c r="AQ63" s="82">
        <f t="shared" si="26"/>
        <v>0</v>
      </c>
      <c r="AS63" s="82"/>
      <c r="AT63" s="82"/>
      <c r="AU63" s="82"/>
      <c r="AV63" s="82"/>
      <c r="AW63" s="82"/>
    </row>
    <row r="64" spans="2:49" x14ac:dyDescent="0.75">
      <c r="B64" s="59" t="s">
        <v>58</v>
      </c>
      <c r="C64" s="81">
        <v>158.70400000000001</v>
      </c>
      <c r="D64" s="81">
        <v>158.70400000000001</v>
      </c>
      <c r="E64" s="81">
        <v>158.70400000000001</v>
      </c>
      <c r="F64" s="81">
        <v>158.70400000000001</v>
      </c>
      <c r="G64" s="81">
        <v>158.70400000000001</v>
      </c>
      <c r="H64" s="81">
        <v>158.70400000000001</v>
      </c>
      <c r="I64" s="81">
        <v>158.70400000000001</v>
      </c>
      <c r="J64" s="81">
        <v>158.70400000000001</v>
      </c>
      <c r="K64" s="81">
        <v>158.70400000000001</v>
      </c>
      <c r="L64" s="81">
        <v>158.70400000000001</v>
      </c>
      <c r="M64" s="81">
        <v>158.70400000000001</v>
      </c>
      <c r="N64" s="81">
        <v>175.21</v>
      </c>
      <c r="O64" s="89">
        <v>175</v>
      </c>
      <c r="P64" s="92">
        <f t="shared" si="27"/>
        <v>1.3754999999999999</v>
      </c>
      <c r="Q64" s="79">
        <f t="shared" si="28"/>
        <v>1.7500000000000664E-2</v>
      </c>
      <c r="R64" s="93">
        <f t="shared" si="29"/>
        <v>1.3579999999999992</v>
      </c>
      <c r="S64" s="86">
        <f t="shared" si="10"/>
        <v>16.295999999999992</v>
      </c>
      <c r="T64" s="83">
        <f t="shared" si="30"/>
        <v>10.268172194777694</v>
      </c>
      <c r="U64" s="101"/>
      <c r="V64" s="98">
        <f t="shared" si="31"/>
        <v>3.3588122962704926E-4</v>
      </c>
      <c r="W64" s="98"/>
      <c r="X64" s="78">
        <f t="shared" si="11"/>
        <v>0</v>
      </c>
      <c r="Y64" s="78">
        <f t="shared" si="12"/>
        <v>0</v>
      </c>
      <c r="Z64" s="78">
        <f t="shared" si="13"/>
        <v>0</v>
      </c>
      <c r="AA64" s="78">
        <f t="shared" si="14"/>
        <v>0</v>
      </c>
      <c r="AB64" s="78">
        <f t="shared" si="15"/>
        <v>0</v>
      </c>
      <c r="AC64" s="78">
        <f t="shared" si="16"/>
        <v>0</v>
      </c>
      <c r="AD64" s="78">
        <f t="shared" si="17"/>
        <v>0</v>
      </c>
      <c r="AE64" s="78">
        <f t="shared" si="18"/>
        <v>0</v>
      </c>
      <c r="AF64" s="78">
        <f t="shared" si="19"/>
        <v>0</v>
      </c>
      <c r="AG64" s="78">
        <f t="shared" si="20"/>
        <v>0</v>
      </c>
      <c r="AH64" s="78">
        <f t="shared" si="21"/>
        <v>16.506</v>
      </c>
      <c r="AI64" s="78">
        <f t="shared" si="22"/>
        <v>-0.21000000000000796</v>
      </c>
      <c r="AJ64" s="78">
        <f t="shared" si="23"/>
        <v>-0.21000000000000796</v>
      </c>
      <c r="AK64" s="78">
        <f t="shared" si="24"/>
        <v>16.506</v>
      </c>
      <c r="AL64" s="78">
        <f t="shared" si="25"/>
        <v>0</v>
      </c>
      <c r="AM64" s="78"/>
      <c r="AN64" s="78">
        <f t="shared" si="32"/>
        <v>-1.7500000000000664E-2</v>
      </c>
      <c r="AO64" s="78">
        <f t="shared" si="33"/>
        <v>1.3754999999999999</v>
      </c>
      <c r="AP64" s="82">
        <f t="shared" si="34"/>
        <v>1.3579999999999992</v>
      </c>
      <c r="AQ64" s="82">
        <f t="shared" si="26"/>
        <v>0</v>
      </c>
      <c r="AS64" s="82"/>
      <c r="AT64" s="82"/>
      <c r="AU64" s="82"/>
      <c r="AV64" s="82"/>
      <c r="AW64" s="82"/>
    </row>
    <row r="65" spans="2:49" x14ac:dyDescent="0.75">
      <c r="B65" s="59" t="s">
        <v>60</v>
      </c>
      <c r="C65" s="81">
        <v>36638</v>
      </c>
      <c r="D65" s="81">
        <v>41429.599999999999</v>
      </c>
      <c r="E65" s="81">
        <v>46221.2</v>
      </c>
      <c r="F65" s="81">
        <v>46221.2</v>
      </c>
      <c r="G65" s="81">
        <v>46221.2</v>
      </c>
      <c r="H65" s="81">
        <v>46221.2</v>
      </c>
      <c r="I65" s="81">
        <v>46221.2</v>
      </c>
      <c r="J65" s="81">
        <v>46440.4</v>
      </c>
      <c r="K65" s="81">
        <v>46440.4</v>
      </c>
      <c r="L65" s="81">
        <v>46151.8</v>
      </c>
      <c r="M65" s="81">
        <v>45503.7</v>
      </c>
      <c r="N65" s="81">
        <v>26525.599999999999</v>
      </c>
      <c r="O65" s="89">
        <v>25575</v>
      </c>
      <c r="P65" s="92">
        <f t="shared" si="27"/>
        <v>816.86666666666679</v>
      </c>
      <c r="Q65" s="79">
        <f t="shared" si="28"/>
        <v>1738.7833333333335</v>
      </c>
      <c r="R65" s="93">
        <f t="shared" si="29"/>
        <v>-921.91666666666674</v>
      </c>
      <c r="S65" s="86">
        <f t="shared" si="10"/>
        <v>-11063</v>
      </c>
      <c r="T65" s="83">
        <f t="shared" si="30"/>
        <v>-30.195425514493149</v>
      </c>
      <c r="U65" s="101"/>
      <c r="V65" s="98">
        <f t="shared" si="31"/>
        <v>-0.22802246216028765</v>
      </c>
      <c r="W65" s="98"/>
      <c r="X65" s="78">
        <f t="shared" si="11"/>
        <v>4791.5999999999985</v>
      </c>
      <c r="Y65" s="78">
        <f t="shared" si="12"/>
        <v>4791.5999999999985</v>
      </c>
      <c r="Z65" s="78">
        <f t="shared" si="13"/>
        <v>0</v>
      </c>
      <c r="AA65" s="78">
        <f t="shared" si="14"/>
        <v>0</v>
      </c>
      <c r="AB65" s="78">
        <f t="shared" si="15"/>
        <v>0</v>
      </c>
      <c r="AC65" s="78">
        <f t="shared" si="16"/>
        <v>0</v>
      </c>
      <c r="AD65" s="78">
        <f t="shared" si="17"/>
        <v>219.20000000000437</v>
      </c>
      <c r="AE65" s="78">
        <f t="shared" si="18"/>
        <v>0</v>
      </c>
      <c r="AF65" s="78">
        <f t="shared" si="19"/>
        <v>-288.59999999999854</v>
      </c>
      <c r="AG65" s="78">
        <f t="shared" si="20"/>
        <v>-648.10000000000582</v>
      </c>
      <c r="AH65" s="78">
        <f t="shared" si="21"/>
        <v>-18978.099999999999</v>
      </c>
      <c r="AI65" s="78">
        <f t="shared" si="22"/>
        <v>-950.59999999999854</v>
      </c>
      <c r="AJ65" s="78">
        <f t="shared" si="23"/>
        <v>-20865.400000000001</v>
      </c>
      <c r="AK65" s="78">
        <f t="shared" si="24"/>
        <v>9802.4000000000015</v>
      </c>
      <c r="AL65" s="78">
        <f t="shared" si="25"/>
        <v>0</v>
      </c>
      <c r="AM65" s="78"/>
      <c r="AN65" s="78">
        <f t="shared" si="32"/>
        <v>-1738.7833333333335</v>
      </c>
      <c r="AO65" s="78">
        <f t="shared" si="33"/>
        <v>816.86666666666679</v>
      </c>
      <c r="AP65" s="82">
        <f t="shared" si="34"/>
        <v>-921.91666666666674</v>
      </c>
      <c r="AQ65" s="82">
        <f t="shared" si="26"/>
        <v>0</v>
      </c>
      <c r="AS65" s="82"/>
      <c r="AT65" s="82"/>
      <c r="AU65" s="82"/>
      <c r="AV65" s="82"/>
      <c r="AW65" s="82"/>
    </row>
    <row r="66" spans="2:49" x14ac:dyDescent="0.75">
      <c r="B66" s="59" t="s">
        <v>62</v>
      </c>
      <c r="C66" s="81">
        <v>394375</v>
      </c>
      <c r="D66" s="81">
        <v>456595.5</v>
      </c>
      <c r="E66" s="81">
        <v>518816</v>
      </c>
      <c r="F66" s="81">
        <v>521051</v>
      </c>
      <c r="G66" s="81">
        <v>527044</v>
      </c>
      <c r="H66" s="81">
        <v>527044</v>
      </c>
      <c r="I66" s="81">
        <v>527034</v>
      </c>
      <c r="J66" s="81">
        <v>530472</v>
      </c>
      <c r="K66" s="81">
        <v>529565</v>
      </c>
      <c r="L66" s="81">
        <v>516113</v>
      </c>
      <c r="M66" s="81">
        <v>554354</v>
      </c>
      <c r="N66" s="81">
        <v>532291</v>
      </c>
      <c r="O66" s="89">
        <v>437538</v>
      </c>
      <c r="P66" s="92">
        <f t="shared" si="27"/>
        <v>14529</v>
      </c>
      <c r="Q66" s="79">
        <f t="shared" si="28"/>
        <v>10932.083333333334</v>
      </c>
      <c r="R66" s="93">
        <f t="shared" si="29"/>
        <v>3596.9166666666661</v>
      </c>
      <c r="S66" s="86">
        <f t="shared" si="10"/>
        <v>43162.999999999993</v>
      </c>
      <c r="T66" s="83">
        <f t="shared" si="30"/>
        <v>10.944659270998413</v>
      </c>
      <c r="U66" s="101"/>
      <c r="V66" s="98">
        <f t="shared" si="31"/>
        <v>0.88964417736820878</v>
      </c>
      <c r="W66" s="98"/>
      <c r="X66" s="78">
        <f t="shared" si="11"/>
        <v>62220.5</v>
      </c>
      <c r="Y66" s="78">
        <f t="shared" si="12"/>
        <v>62220.5</v>
      </c>
      <c r="Z66" s="78">
        <f t="shared" si="13"/>
        <v>2235</v>
      </c>
      <c r="AA66" s="78">
        <f t="shared" si="14"/>
        <v>5993</v>
      </c>
      <c r="AB66" s="78">
        <f t="shared" si="15"/>
        <v>0</v>
      </c>
      <c r="AC66" s="78">
        <f t="shared" si="16"/>
        <v>-10</v>
      </c>
      <c r="AD66" s="78">
        <f t="shared" si="17"/>
        <v>3438</v>
      </c>
      <c r="AE66" s="78">
        <f t="shared" si="18"/>
        <v>-907</v>
      </c>
      <c r="AF66" s="78">
        <f t="shared" si="19"/>
        <v>-13452</v>
      </c>
      <c r="AG66" s="78">
        <f t="shared" si="20"/>
        <v>38241</v>
      </c>
      <c r="AH66" s="78">
        <f t="shared" si="21"/>
        <v>-22063</v>
      </c>
      <c r="AI66" s="78">
        <f t="shared" si="22"/>
        <v>-94753</v>
      </c>
      <c r="AJ66" s="78">
        <f>SUMIF(X66:AI66,"&lt;0")</f>
        <v>-131185</v>
      </c>
      <c r="AK66" s="78">
        <f>SUMIF(X66:AI66,"&gt;0")</f>
        <v>174348</v>
      </c>
      <c r="AL66" s="78">
        <f t="shared" si="25"/>
        <v>0</v>
      </c>
      <c r="AM66" s="78"/>
      <c r="AN66" s="78">
        <f t="shared" si="32"/>
        <v>-10932.083333333334</v>
      </c>
      <c r="AO66" s="78">
        <f t="shared" si="33"/>
        <v>14529</v>
      </c>
      <c r="AP66" s="82">
        <f t="shared" si="34"/>
        <v>3596.9166666666661</v>
      </c>
      <c r="AQ66" s="82">
        <f t="shared" si="26"/>
        <v>0</v>
      </c>
      <c r="AS66" s="82"/>
      <c r="AT66" s="82"/>
      <c r="AU66" s="82"/>
      <c r="AV66" s="82"/>
      <c r="AW66" s="82"/>
    </row>
    <row r="67" spans="2:49" x14ac:dyDescent="0.75">
      <c r="S67" s="95"/>
      <c r="T67" s="95"/>
      <c r="U67" s="102"/>
    </row>
    <row r="72" spans="2:49" x14ac:dyDescent="0.75">
      <c r="D72">
        <v>8633.4699999999993</v>
      </c>
    </row>
    <row r="73" spans="2:49" x14ac:dyDescent="0.75">
      <c r="D73">
        <v>405.18</v>
      </c>
    </row>
    <row r="74" spans="2:49" x14ac:dyDescent="0.75">
      <c r="D74">
        <f>D72-D73</f>
        <v>8228.2899999999991</v>
      </c>
      <c r="E74">
        <v>131652.71</v>
      </c>
      <c r="F74">
        <f>E74/D74</f>
        <v>16.000008507235403</v>
      </c>
      <c r="G74">
        <v>135.19</v>
      </c>
      <c r="H74">
        <f>E74*G74/100</f>
        <v>177981.298649</v>
      </c>
      <c r="I74">
        <v>0</v>
      </c>
    </row>
    <row r="75" spans="2:49" x14ac:dyDescent="0.75">
      <c r="D75">
        <v>15107.67</v>
      </c>
      <c r="E75">
        <v>241772.79</v>
      </c>
      <c r="F75">
        <f>E75/D75</f>
        <v>16.00331421059634</v>
      </c>
      <c r="G75">
        <v>8.61</v>
      </c>
      <c r="H75">
        <f>E75*G75/100</f>
        <v>20816.637219</v>
      </c>
    </row>
  </sheetData>
  <mergeCells count="6">
    <mergeCell ref="S43:T44"/>
    <mergeCell ref="P43:R44"/>
    <mergeCell ref="C4:O4"/>
    <mergeCell ref="B4:B6"/>
    <mergeCell ref="B43:B45"/>
    <mergeCell ref="C43:O43"/>
  </mergeCells>
  <conditionalFormatting sqref="X46:AI66">
    <cfRule type="expression" dxfId="5" priority="7">
      <formula>X46&gt;0</formula>
    </cfRule>
    <cfRule type="expression" dxfId="4" priority="8">
      <formula>X46&lt;0</formula>
    </cfRule>
  </conditionalFormatting>
  <pageMargins left="0.7" right="0.7" top="0.75" bottom="0.75" header="0.3" footer="0.3"/>
  <pageSetup scale="60" orientation="portrait" r:id="rId1"/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P44"/>
  <sheetViews>
    <sheetView tabSelected="1" topLeftCell="B10" zoomScale="90" zoomScaleNormal="90" workbookViewId="0">
      <selection activeCell="V10" sqref="V10"/>
    </sheetView>
  </sheetViews>
  <sheetFormatPr defaultRowHeight="14.75" x14ac:dyDescent="0.75"/>
  <cols>
    <col min="1" max="1" width="12.26953125" customWidth="1"/>
    <col min="2" max="2" width="4.7265625" customWidth="1"/>
    <col min="3" max="3" width="13.90625" customWidth="1"/>
  </cols>
  <sheetData>
    <row r="4" spans="3:16" x14ac:dyDescent="0.75">
      <c r="C4" t="s">
        <v>113</v>
      </c>
      <c r="D4">
        <v>1990</v>
      </c>
      <c r="E4">
        <v>1996</v>
      </c>
      <c r="F4">
        <v>2000</v>
      </c>
      <c r="G4">
        <v>2003</v>
      </c>
      <c r="H4">
        <v>2006</v>
      </c>
      <c r="I4">
        <v>2009</v>
      </c>
      <c r="J4">
        <v>2011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</row>
    <row r="5" spans="3:16" x14ac:dyDescent="0.75">
      <c r="C5" t="s">
        <v>71</v>
      </c>
      <c r="D5" s="106">
        <v>50.3</v>
      </c>
      <c r="E5" s="106">
        <v>46.7</v>
      </c>
      <c r="F5" s="106">
        <v>43.09</v>
      </c>
      <c r="G5" s="106">
        <v>42.68</v>
      </c>
      <c r="H5" s="106">
        <v>41.71</v>
      </c>
      <c r="I5" s="106">
        <v>41.7</v>
      </c>
      <c r="J5" s="106">
        <v>42.69</v>
      </c>
      <c r="K5" s="106">
        <v>41.74</v>
      </c>
      <c r="L5" s="106">
        <v>40.74</v>
      </c>
      <c r="M5" s="106">
        <v>40.270000000000003</v>
      </c>
      <c r="N5" s="106">
        <v>40.17</v>
      </c>
      <c r="O5" s="106">
        <v>39.46</v>
      </c>
      <c r="P5" s="106">
        <v>42.97</v>
      </c>
    </row>
    <row r="6" spans="3:16" x14ac:dyDescent="0.75">
      <c r="C6" t="s">
        <v>72</v>
      </c>
      <c r="D6" s="106">
        <v>49.7</v>
      </c>
      <c r="E6" s="106">
        <v>53.3</v>
      </c>
      <c r="F6" s="106">
        <v>56.91</v>
      </c>
      <c r="G6" s="106">
        <v>57.32</v>
      </c>
      <c r="H6" s="106">
        <v>58.29</v>
      </c>
      <c r="I6" s="106">
        <v>58.3</v>
      </c>
      <c r="J6" s="106">
        <v>58.31</v>
      </c>
      <c r="K6" s="106">
        <v>58.26</v>
      </c>
      <c r="L6" s="106">
        <v>59.25</v>
      </c>
      <c r="M6" s="106">
        <v>59.73</v>
      </c>
      <c r="N6" s="106">
        <v>59.83</v>
      </c>
      <c r="O6" s="106">
        <v>60.54</v>
      </c>
      <c r="P6" s="106">
        <v>57.03</v>
      </c>
    </row>
    <row r="21" spans="2:2" x14ac:dyDescent="0.75">
      <c r="B21" s="110"/>
    </row>
    <row r="22" spans="2:2" x14ac:dyDescent="0.75">
      <c r="B22" s="110"/>
    </row>
    <row r="43" spans="4:16" x14ac:dyDescent="0.75"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</row>
    <row r="44" spans="4:16" x14ac:dyDescent="0.75"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P6"/>
  <sheetViews>
    <sheetView topLeftCell="B1" workbookViewId="0">
      <selection activeCell="O33" sqref="O33"/>
    </sheetView>
  </sheetViews>
  <sheetFormatPr defaultRowHeight="14.75" x14ac:dyDescent="0.75"/>
  <cols>
    <col min="3" max="3" width="14.1796875" customWidth="1"/>
  </cols>
  <sheetData>
    <row r="4" spans="3:16" x14ac:dyDescent="0.75">
      <c r="C4" t="s">
        <v>113</v>
      </c>
      <c r="D4">
        <v>1990</v>
      </c>
      <c r="E4">
        <v>1996</v>
      </c>
      <c r="F4">
        <v>2000</v>
      </c>
      <c r="G4">
        <v>2003</v>
      </c>
      <c r="H4">
        <v>2006</v>
      </c>
      <c r="I4">
        <v>2009</v>
      </c>
      <c r="J4">
        <v>2011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</row>
    <row r="5" spans="3:16" x14ac:dyDescent="0.75">
      <c r="C5" t="s">
        <v>71</v>
      </c>
      <c r="D5" s="108">
        <v>2440396</v>
      </c>
      <c r="E5" s="108">
        <v>2265600</v>
      </c>
      <c r="F5" s="108">
        <v>2090804</v>
      </c>
      <c r="G5" s="108">
        <v>2070891</v>
      </c>
      <c r="H5" s="108">
        <v>2023668</v>
      </c>
      <c r="I5" s="108">
        <v>2023051</v>
      </c>
      <c r="J5" s="108">
        <v>2022760</v>
      </c>
      <c r="K5" s="108">
        <v>2024932</v>
      </c>
      <c r="L5" s="108">
        <v>1977080</v>
      </c>
      <c r="M5" s="108">
        <v>1953906</v>
      </c>
      <c r="N5" s="108">
        <v>1948987</v>
      </c>
      <c r="O5" s="108">
        <v>1914250</v>
      </c>
      <c r="P5" s="108">
        <v>2084557</v>
      </c>
    </row>
    <row r="6" spans="3:16" x14ac:dyDescent="0.75">
      <c r="C6" t="s">
        <v>72</v>
      </c>
      <c r="D6" s="109">
        <v>2411319</v>
      </c>
      <c r="E6" s="109">
        <v>2586115</v>
      </c>
      <c r="F6" s="109">
        <v>2760912</v>
      </c>
      <c r="G6" s="109">
        <v>2780824</v>
      </c>
      <c r="H6" s="109">
        <v>2828047</v>
      </c>
      <c r="I6" s="109">
        <v>2828664</v>
      </c>
      <c r="J6" s="109">
        <v>2828955</v>
      </c>
      <c r="K6" s="109">
        <v>2826783</v>
      </c>
      <c r="L6" s="109">
        <v>2874635</v>
      </c>
      <c r="M6" s="109">
        <v>2897809</v>
      </c>
      <c r="N6" s="109">
        <v>2902728</v>
      </c>
      <c r="O6" s="109">
        <v>2937465</v>
      </c>
      <c r="P6" s="109">
        <v>2767158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X105"/>
  <sheetViews>
    <sheetView topLeftCell="A106" zoomScale="120" zoomScaleNormal="120" zoomScaleSheetLayoutView="100" workbookViewId="0">
      <selection activeCell="B115" sqref="B115"/>
    </sheetView>
  </sheetViews>
  <sheetFormatPr defaultRowHeight="14.75" x14ac:dyDescent="0.75"/>
  <cols>
    <col min="2" max="2" width="17.1796875" style="124" customWidth="1"/>
    <col min="3" max="3" width="8.7265625" style="124" customWidth="1"/>
    <col min="4" max="4" width="8.81640625" style="124" customWidth="1"/>
    <col min="5" max="5" width="9.7265625" style="124" customWidth="1"/>
    <col min="6" max="6" width="9.1796875" style="124" customWidth="1"/>
    <col min="7" max="7" width="9.26953125" style="124" customWidth="1"/>
    <col min="8" max="8" width="9.6328125" style="124" customWidth="1"/>
    <col min="9" max="9" width="9.81640625" style="124" customWidth="1"/>
    <col min="10" max="10" width="10" style="124" customWidth="1"/>
    <col min="11" max="11" width="10.54296875" style="124" customWidth="1"/>
    <col min="12" max="12" width="10" style="124" customWidth="1"/>
    <col min="13" max="13" width="10.36328125" style="124" customWidth="1"/>
    <col min="14" max="14" width="10.08984375" style="124" customWidth="1"/>
    <col min="15" max="15" width="10" style="124" customWidth="1"/>
    <col min="16" max="16" width="11.81640625" customWidth="1"/>
    <col min="17" max="17" width="8.81640625" customWidth="1"/>
    <col min="20" max="20" width="9.1796875" customWidth="1"/>
    <col min="23" max="23" width="13.6328125" customWidth="1"/>
    <col min="24" max="24" width="9.90625" customWidth="1"/>
    <col min="25" max="25" width="13.54296875" customWidth="1"/>
    <col min="26" max="27" width="11.81640625" customWidth="1"/>
    <col min="28" max="28" width="13" customWidth="1"/>
    <col min="29" max="39" width="11.81640625" customWidth="1"/>
    <col min="41" max="42" width="11.81640625" customWidth="1"/>
    <col min="43" max="43" width="10.36328125" bestFit="1" customWidth="1"/>
    <col min="46" max="49" width="11.36328125" bestFit="1" customWidth="1"/>
  </cols>
  <sheetData>
    <row r="2" spans="2:25" x14ac:dyDescent="0.75">
      <c r="B2" s="124" t="s">
        <v>120</v>
      </c>
    </row>
    <row r="3" spans="2:25" x14ac:dyDescent="0.75">
      <c r="B3" s="124" t="s">
        <v>121</v>
      </c>
    </row>
    <row r="4" spans="2:25" ht="13" customHeight="1" x14ac:dyDescent="0.75">
      <c r="B4" s="198" t="s">
        <v>110</v>
      </c>
      <c r="C4" s="201" t="s">
        <v>113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3"/>
      <c r="P4" s="111"/>
    </row>
    <row r="5" spans="2:25" ht="13" customHeight="1" x14ac:dyDescent="0.75">
      <c r="B5" s="199"/>
      <c r="C5" s="134">
        <v>1990</v>
      </c>
      <c r="D5" s="147">
        <v>1996</v>
      </c>
      <c r="E5" s="147">
        <v>2000</v>
      </c>
      <c r="F5" s="147">
        <v>2003</v>
      </c>
      <c r="G5" s="147">
        <v>2006</v>
      </c>
      <c r="H5" s="147">
        <v>2009</v>
      </c>
      <c r="I5" s="147">
        <v>2011</v>
      </c>
      <c r="J5" s="147">
        <v>2014</v>
      </c>
      <c r="K5" s="147">
        <v>2015</v>
      </c>
      <c r="L5" s="147">
        <v>2016</v>
      </c>
      <c r="M5" s="147">
        <v>2017</v>
      </c>
      <c r="N5" s="147">
        <v>2018</v>
      </c>
      <c r="O5" s="147">
        <v>2019</v>
      </c>
      <c r="P5" s="112"/>
    </row>
    <row r="6" spans="2:25" ht="15" customHeight="1" x14ac:dyDescent="0.75">
      <c r="B6" s="200"/>
      <c r="C6" s="135" t="s">
        <v>114</v>
      </c>
      <c r="D6" s="135" t="s">
        <v>114</v>
      </c>
      <c r="E6" s="135" t="s">
        <v>114</v>
      </c>
      <c r="F6" s="135" t="s">
        <v>114</v>
      </c>
      <c r="G6" s="135" t="s">
        <v>114</v>
      </c>
      <c r="H6" s="135" t="s">
        <v>114</v>
      </c>
      <c r="I6" s="135" t="s">
        <v>114</v>
      </c>
      <c r="J6" s="135" t="s">
        <v>114</v>
      </c>
      <c r="K6" s="135" t="s">
        <v>114</v>
      </c>
      <c r="L6" s="135" t="s">
        <v>114</v>
      </c>
      <c r="M6" s="135" t="s">
        <v>114</v>
      </c>
      <c r="N6" s="135" t="s">
        <v>114</v>
      </c>
      <c r="O6" s="127" t="s">
        <v>114</v>
      </c>
      <c r="P6" s="99"/>
      <c r="W6" s="107"/>
      <c r="Y6" t="s">
        <v>113</v>
      </c>
    </row>
    <row r="7" spans="2:25" x14ac:dyDescent="0.75">
      <c r="B7" s="129" t="s">
        <v>111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13"/>
      <c r="W7" s="107"/>
      <c r="Y7" t="s">
        <v>131</v>
      </c>
    </row>
    <row r="8" spans="2:25" x14ac:dyDescent="0.75">
      <c r="B8" s="130" t="s">
        <v>26</v>
      </c>
      <c r="C8" s="145">
        <v>694737</v>
      </c>
      <c r="D8" s="145">
        <v>664756.5</v>
      </c>
      <c r="E8" s="145">
        <v>634776</v>
      </c>
      <c r="F8" s="145">
        <v>619004</v>
      </c>
      <c r="G8" s="145">
        <v>598828</v>
      </c>
      <c r="H8" s="145">
        <v>553728</v>
      </c>
      <c r="I8" s="145">
        <v>553098</v>
      </c>
      <c r="J8" s="145">
        <v>543670</v>
      </c>
      <c r="K8" s="145">
        <v>529715</v>
      </c>
      <c r="L8" s="145">
        <v>522977</v>
      </c>
      <c r="M8" s="145">
        <v>519144</v>
      </c>
      <c r="N8" s="145">
        <v>401879</v>
      </c>
      <c r="O8" s="145">
        <v>500359</v>
      </c>
      <c r="P8" s="114"/>
      <c r="R8">
        <f>(D15-C15)/C15</f>
        <v>-7.1626235460199444E-2</v>
      </c>
      <c r="S8" s="78"/>
      <c r="W8" s="107"/>
    </row>
    <row r="9" spans="2:25" x14ac:dyDescent="0.75">
      <c r="B9" s="130" t="s">
        <v>28</v>
      </c>
      <c r="C9" s="145">
        <v>638049</v>
      </c>
      <c r="D9" s="145">
        <v>620772.5</v>
      </c>
      <c r="E9" s="145">
        <v>603496</v>
      </c>
      <c r="F9" s="145">
        <v>618381</v>
      </c>
      <c r="G9" s="145">
        <v>627494</v>
      </c>
      <c r="H9" s="145">
        <v>672086</v>
      </c>
      <c r="I9" s="145">
        <v>672425</v>
      </c>
      <c r="J9" s="145">
        <v>678803</v>
      </c>
      <c r="K9" s="145">
        <v>664888</v>
      </c>
      <c r="L9" s="145">
        <v>654663</v>
      </c>
      <c r="M9" s="145">
        <v>652518</v>
      </c>
      <c r="N9" s="145">
        <v>732934</v>
      </c>
      <c r="O9" s="145">
        <v>631295</v>
      </c>
      <c r="P9" s="114"/>
      <c r="R9">
        <f>R8*100</f>
        <v>-7.1626235460199448</v>
      </c>
      <c r="W9" s="107"/>
    </row>
    <row r="10" spans="2:25" x14ac:dyDescent="0.75">
      <c r="B10" s="130" t="s">
        <v>30</v>
      </c>
      <c r="C10" s="136">
        <v>208727</v>
      </c>
      <c r="D10" s="136">
        <v>207345</v>
      </c>
      <c r="E10" s="136">
        <v>205963</v>
      </c>
      <c r="F10" s="136">
        <v>201768</v>
      </c>
      <c r="G10" s="136">
        <v>196510</v>
      </c>
      <c r="H10" s="136">
        <v>196510</v>
      </c>
      <c r="I10" s="136">
        <v>196510</v>
      </c>
      <c r="J10" s="136">
        <v>197808</v>
      </c>
      <c r="K10" s="136">
        <v>196758</v>
      </c>
      <c r="L10" s="136">
        <v>195162</v>
      </c>
      <c r="M10" s="136">
        <v>195007</v>
      </c>
      <c r="N10" s="136">
        <v>195660</v>
      </c>
      <c r="O10" s="136">
        <v>195384</v>
      </c>
      <c r="P10" s="115"/>
      <c r="T10" s="82"/>
      <c r="W10" s="107"/>
    </row>
    <row r="11" spans="2:25" x14ac:dyDescent="0.75">
      <c r="B11" s="130" t="s">
        <v>46</v>
      </c>
      <c r="C11" s="136">
        <v>25345.3</v>
      </c>
      <c r="D11" s="136">
        <v>24208.9</v>
      </c>
      <c r="E11" s="136">
        <v>23072.5</v>
      </c>
      <c r="F11" s="136">
        <v>25776.2</v>
      </c>
      <c r="G11" s="136">
        <v>23677.9</v>
      </c>
      <c r="H11" s="136">
        <v>23574</v>
      </c>
      <c r="I11" s="136">
        <v>23574</v>
      </c>
      <c r="J11" s="136">
        <v>23675.4</v>
      </c>
      <c r="K11" s="136">
        <v>23520.7</v>
      </c>
      <c r="L11" s="136">
        <v>23876.400000000001</v>
      </c>
      <c r="M11" s="136">
        <v>23829.200000000001</v>
      </c>
      <c r="N11" s="136">
        <v>23931.9</v>
      </c>
      <c r="O11" s="136">
        <v>24059.599999999999</v>
      </c>
      <c r="P11" s="115"/>
      <c r="W11" s="107"/>
    </row>
    <row r="12" spans="2:25" x14ac:dyDescent="0.75">
      <c r="B12" s="130" t="s">
        <v>32</v>
      </c>
      <c r="C12" s="137">
        <v>342429</v>
      </c>
      <c r="D12" s="137">
        <v>329304</v>
      </c>
      <c r="E12" s="137">
        <v>316179</v>
      </c>
      <c r="F12" s="137">
        <v>292789</v>
      </c>
      <c r="G12" s="137">
        <v>238249</v>
      </c>
      <c r="H12" s="137">
        <v>205343</v>
      </c>
      <c r="I12" s="137">
        <v>205343</v>
      </c>
      <c r="J12" s="137">
        <v>206530</v>
      </c>
      <c r="K12" s="137">
        <v>202799</v>
      </c>
      <c r="L12" s="137">
        <v>200958</v>
      </c>
      <c r="M12" s="137">
        <v>200400</v>
      </c>
      <c r="N12" s="137">
        <v>202694</v>
      </c>
      <c r="O12" s="137">
        <v>202193</v>
      </c>
      <c r="P12" s="116"/>
      <c r="W12" s="107"/>
    </row>
    <row r="13" spans="2:25" x14ac:dyDescent="0.75">
      <c r="B13" s="130" t="s">
        <v>48</v>
      </c>
      <c r="C13" s="137">
        <v>531109</v>
      </c>
      <c r="D13" s="137">
        <v>419213</v>
      </c>
      <c r="E13" s="137">
        <v>307317</v>
      </c>
      <c r="F13" s="137">
        <v>313173</v>
      </c>
      <c r="G13" s="137">
        <v>338909</v>
      </c>
      <c r="H13" s="137">
        <v>371810</v>
      </c>
      <c r="I13" s="137">
        <v>371810</v>
      </c>
      <c r="J13" s="137">
        <v>374446</v>
      </c>
      <c r="K13" s="137">
        <v>359399</v>
      </c>
      <c r="L13" s="137">
        <v>356270</v>
      </c>
      <c r="M13" s="137">
        <v>358089</v>
      </c>
      <c r="N13" s="137">
        <v>357151</v>
      </c>
      <c r="O13" s="137">
        <v>531266</v>
      </c>
      <c r="P13" s="116"/>
      <c r="W13" s="107"/>
    </row>
    <row r="14" spans="2:25" x14ac:dyDescent="0.75">
      <c r="B14" s="131" t="s">
        <v>117</v>
      </c>
      <c r="C14" s="138">
        <f t="shared" ref="C14:O14" si="0">SUM(C8:C13)</f>
        <v>2440396.2999999998</v>
      </c>
      <c r="D14" s="138">
        <f t="shared" si="0"/>
        <v>2265599.9</v>
      </c>
      <c r="E14" s="138">
        <f t="shared" si="0"/>
        <v>2090803.5</v>
      </c>
      <c r="F14" s="138">
        <f t="shared" si="0"/>
        <v>2070891.2</v>
      </c>
      <c r="G14" s="138">
        <f t="shared" si="0"/>
        <v>2023667.9</v>
      </c>
      <c r="H14" s="138">
        <f t="shared" si="0"/>
        <v>2023051</v>
      </c>
      <c r="I14" s="138">
        <f t="shared" si="0"/>
        <v>2022760</v>
      </c>
      <c r="J14" s="138">
        <f t="shared" si="0"/>
        <v>2024932.4</v>
      </c>
      <c r="K14" s="138">
        <f t="shared" si="0"/>
        <v>1977079.7</v>
      </c>
      <c r="L14" s="138">
        <f t="shared" si="0"/>
        <v>1953906.4</v>
      </c>
      <c r="M14" s="138">
        <f t="shared" si="0"/>
        <v>1948987.2</v>
      </c>
      <c r="N14" s="138">
        <f t="shared" si="0"/>
        <v>1914249.9</v>
      </c>
      <c r="O14" s="138">
        <f t="shared" si="0"/>
        <v>2084556.6</v>
      </c>
      <c r="P14" s="117"/>
      <c r="W14" s="107"/>
    </row>
    <row r="15" spans="2:25" x14ac:dyDescent="0.75">
      <c r="B15" s="131" t="s">
        <v>118</v>
      </c>
      <c r="C15" s="139">
        <f>(C14/(C14+C35))*100</f>
        <v>50.299663108818216</v>
      </c>
      <c r="D15" s="139">
        <f t="shared" ref="D15:O15" si="1">(D14/(D14+D35))*100</f>
        <v>46.696887595417294</v>
      </c>
      <c r="E15" s="139">
        <f t="shared" si="1"/>
        <v>43.094112082016359</v>
      </c>
      <c r="F15" s="139">
        <f t="shared" si="1"/>
        <v>42.683694322523074</v>
      </c>
      <c r="G15" s="139">
        <f t="shared" si="1"/>
        <v>41.710362212124991</v>
      </c>
      <c r="H15" s="139">
        <f t="shared" si="1"/>
        <v>41.697647120657336</v>
      </c>
      <c r="I15" s="139">
        <f t="shared" si="1"/>
        <v>41.691649241556853</v>
      </c>
      <c r="J15" s="139">
        <f t="shared" si="1"/>
        <v>41.736425160999765</v>
      </c>
      <c r="K15" s="139">
        <f t="shared" si="1"/>
        <v>40.750120318279201</v>
      </c>
      <c r="L15" s="139">
        <f t="shared" si="1"/>
        <v>40.272489212577405</v>
      </c>
      <c r="M15" s="139">
        <f t="shared" si="1"/>
        <v>40.171098261130354</v>
      </c>
      <c r="N15" s="139">
        <f t="shared" si="1"/>
        <v>39.455118447806598</v>
      </c>
      <c r="O15" s="139">
        <f t="shared" si="1"/>
        <v>42.965355549532482</v>
      </c>
      <c r="P15" s="118"/>
      <c r="W15" s="107"/>
    </row>
    <row r="16" spans="2:25" x14ac:dyDescent="0.75">
      <c r="B16" s="131" t="s">
        <v>119</v>
      </c>
      <c r="C16" s="138"/>
      <c r="D16" s="138">
        <f>D14-C14</f>
        <v>-174796.39999999991</v>
      </c>
      <c r="E16" s="138">
        <f t="shared" ref="E16:O16" si="2">E14-D14</f>
        <v>-174796.39999999991</v>
      </c>
      <c r="F16" s="138">
        <f>F14-E14</f>
        <v>-19912.300000000047</v>
      </c>
      <c r="G16" s="138">
        <f t="shared" si="2"/>
        <v>-47223.300000000047</v>
      </c>
      <c r="H16" s="138">
        <f t="shared" si="2"/>
        <v>-616.89999999990687</v>
      </c>
      <c r="I16" s="138">
        <f t="shared" si="2"/>
        <v>-291</v>
      </c>
      <c r="J16" s="138">
        <f t="shared" si="2"/>
        <v>2172.3999999999069</v>
      </c>
      <c r="K16" s="138">
        <f t="shared" si="2"/>
        <v>-47852.699999999953</v>
      </c>
      <c r="L16" s="138">
        <f t="shared" si="2"/>
        <v>-23173.300000000047</v>
      </c>
      <c r="M16" s="138">
        <f t="shared" si="2"/>
        <v>-4919.1999999999534</v>
      </c>
      <c r="N16" s="138">
        <f t="shared" si="2"/>
        <v>-34737.300000000047</v>
      </c>
      <c r="O16" s="138">
        <f t="shared" si="2"/>
        <v>170306.70000000019</v>
      </c>
      <c r="P16" s="117"/>
      <c r="W16" s="107"/>
    </row>
    <row r="17" spans="2:27" x14ac:dyDescent="0.75">
      <c r="B17" s="131"/>
      <c r="C17" s="138"/>
      <c r="D17" s="150">
        <f t="shared" ref="D17:O17" si="3">(D14-C14)/C14</f>
        <v>-7.1626235460199611E-2</v>
      </c>
      <c r="E17" s="148">
        <f t="shared" si="3"/>
        <v>-7.7152369224592524E-2</v>
      </c>
      <c r="F17" s="148">
        <f t="shared" si="3"/>
        <v>-9.5237548626640658E-3</v>
      </c>
      <c r="G17" s="139">
        <f t="shared" si="3"/>
        <v>-2.2803370838603228E-2</v>
      </c>
      <c r="H17" s="148">
        <f t="shared" si="3"/>
        <v>-3.0484250899068314E-4</v>
      </c>
      <c r="I17" s="148">
        <f t="shared" si="3"/>
        <v>-1.4384214733093728E-4</v>
      </c>
      <c r="J17" s="148">
        <f t="shared" si="3"/>
        <v>1.0739781288931494E-3</v>
      </c>
      <c r="K17" s="148">
        <f t="shared" si="3"/>
        <v>-2.3631751855024866E-2</v>
      </c>
      <c r="L17" s="148">
        <f t="shared" si="3"/>
        <v>-1.1720974121579443E-2</v>
      </c>
      <c r="M17" s="148">
        <f t="shared" si="3"/>
        <v>-2.5176231573835642E-3</v>
      </c>
      <c r="N17" s="148">
        <f t="shared" si="3"/>
        <v>-1.7823257125547078E-2</v>
      </c>
      <c r="O17" s="148">
        <f t="shared" si="3"/>
        <v>8.8967851062706174E-2</v>
      </c>
      <c r="P17" s="119"/>
      <c r="W17" s="107"/>
    </row>
    <row r="18" spans="2:27" x14ac:dyDescent="0.75">
      <c r="B18" s="131"/>
      <c r="C18" s="138"/>
      <c r="D18" s="150">
        <f t="shared" ref="D18:O18" si="4">D17*100</f>
        <v>-7.1626235460199608</v>
      </c>
      <c r="E18" s="148">
        <f t="shared" si="4"/>
        <v>-7.7152369224592521</v>
      </c>
      <c r="F18" s="148">
        <f t="shared" si="4"/>
        <v>-0.95237548626640656</v>
      </c>
      <c r="G18" s="148">
        <f t="shared" si="4"/>
        <v>-2.280337083860323</v>
      </c>
      <c r="H18" s="148">
        <f t="shared" si="4"/>
        <v>-3.0484250899068314E-2</v>
      </c>
      <c r="I18" s="148">
        <f t="shared" si="4"/>
        <v>-1.4384214733093727E-2</v>
      </c>
      <c r="J18" s="148">
        <f t="shared" si="4"/>
        <v>0.10739781288931494</v>
      </c>
      <c r="K18" s="148">
        <f t="shared" si="4"/>
        <v>-2.3631751855024867</v>
      </c>
      <c r="L18" s="148">
        <f t="shared" si="4"/>
        <v>-1.1720974121579444</v>
      </c>
      <c r="M18" s="148">
        <f t="shared" si="4"/>
        <v>-0.25176231573835639</v>
      </c>
      <c r="N18" s="148">
        <f t="shared" si="4"/>
        <v>-1.7823257125547078</v>
      </c>
      <c r="O18" s="148">
        <f t="shared" si="4"/>
        <v>8.8967851062706167</v>
      </c>
      <c r="P18" s="119"/>
      <c r="W18" s="107"/>
    </row>
    <row r="19" spans="2:27" x14ac:dyDescent="0.75">
      <c r="B19" s="132" t="s">
        <v>112</v>
      </c>
      <c r="C19" s="144"/>
      <c r="D19" s="15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13"/>
    </row>
    <row r="20" spans="2:27" x14ac:dyDescent="0.75">
      <c r="B20" s="130" t="s">
        <v>34</v>
      </c>
      <c r="C20" s="136">
        <v>71945.899999999994</v>
      </c>
      <c r="D20" s="136">
        <v>124194.45</v>
      </c>
      <c r="E20" s="136">
        <v>176443</v>
      </c>
      <c r="F20" s="136">
        <v>177229</v>
      </c>
      <c r="G20" s="136">
        <v>178032</v>
      </c>
      <c r="H20" s="136">
        <v>178463</v>
      </c>
      <c r="I20" s="136">
        <v>177262</v>
      </c>
      <c r="J20" s="136">
        <v>174273</v>
      </c>
      <c r="K20" s="136">
        <v>169262</v>
      </c>
      <c r="L20" s="136">
        <v>166111</v>
      </c>
      <c r="M20" s="136">
        <v>170801</v>
      </c>
      <c r="N20" s="136">
        <v>169656</v>
      </c>
      <c r="O20" s="136">
        <v>129465</v>
      </c>
      <c r="P20" s="115"/>
    </row>
    <row r="21" spans="2:27" x14ac:dyDescent="0.75">
      <c r="B21" s="130" t="s">
        <v>66</v>
      </c>
      <c r="C21" s="136">
        <v>0</v>
      </c>
      <c r="D21" s="136">
        <v>0</v>
      </c>
      <c r="E21" s="136">
        <v>0</v>
      </c>
      <c r="F21" s="136">
        <v>101.02200000000001</v>
      </c>
      <c r="G21" s="136">
        <v>101.02200000000001</v>
      </c>
      <c r="H21" s="136">
        <v>101.02200000000001</v>
      </c>
      <c r="I21" s="136">
        <v>1533.15</v>
      </c>
      <c r="J21" s="136">
        <v>16535</v>
      </c>
      <c r="K21" s="136">
        <v>19885</v>
      </c>
      <c r="L21" s="136">
        <v>27397.200000000001</v>
      </c>
      <c r="M21" s="136">
        <v>53856.800000000003</v>
      </c>
      <c r="N21" s="136">
        <v>80231.399999999994</v>
      </c>
      <c r="O21" s="136">
        <v>94358.6</v>
      </c>
      <c r="P21" s="115"/>
    </row>
    <row r="22" spans="2:27" x14ac:dyDescent="0.75">
      <c r="B22" s="130" t="s">
        <v>36</v>
      </c>
      <c r="C22" s="136">
        <v>3159.73</v>
      </c>
      <c r="D22" s="136">
        <v>3365.5749999999998</v>
      </c>
      <c r="E22" s="136">
        <v>3571.42</v>
      </c>
      <c r="F22" s="136">
        <v>3667.19</v>
      </c>
      <c r="G22" s="136">
        <v>3890.97</v>
      </c>
      <c r="H22" s="136">
        <v>3890.97</v>
      </c>
      <c r="I22" s="136">
        <v>3890.97</v>
      </c>
      <c r="J22" s="136">
        <v>3916.67</v>
      </c>
      <c r="K22" s="136">
        <v>3653.09</v>
      </c>
      <c r="L22" s="136">
        <v>3878.1</v>
      </c>
      <c r="M22" s="136">
        <v>3480.02</v>
      </c>
      <c r="N22" s="136">
        <v>7216.4</v>
      </c>
      <c r="O22" s="136">
        <v>7089.96</v>
      </c>
      <c r="P22" s="115"/>
    </row>
    <row r="23" spans="2:27" x14ac:dyDescent="0.75">
      <c r="B23" s="130" t="s">
        <v>38</v>
      </c>
      <c r="C23" s="136">
        <v>81713.600000000006</v>
      </c>
      <c r="D23" s="136">
        <v>51759.350000000006</v>
      </c>
      <c r="E23" s="136">
        <v>21805.1</v>
      </c>
      <c r="F23" s="136">
        <v>21805.1</v>
      </c>
      <c r="G23" s="136">
        <v>21853.200000000001</v>
      </c>
      <c r="H23" s="136">
        <v>21853.200000000001</v>
      </c>
      <c r="I23" s="136">
        <v>21912.9</v>
      </c>
      <c r="J23" s="136">
        <v>23500.799999999999</v>
      </c>
      <c r="K23" s="136">
        <v>263859</v>
      </c>
      <c r="L23" s="136">
        <v>75080.7</v>
      </c>
      <c r="M23" s="136">
        <v>56539</v>
      </c>
      <c r="N23" s="136">
        <v>77994.3</v>
      </c>
      <c r="O23" s="136">
        <v>88946.1</v>
      </c>
      <c r="P23" s="115"/>
    </row>
    <row r="24" spans="2:27" x14ac:dyDescent="0.75">
      <c r="B24" s="130" t="s">
        <v>40</v>
      </c>
      <c r="C24" s="136">
        <v>763.64700000000005</v>
      </c>
      <c r="D24" s="136">
        <v>763.64700000000005</v>
      </c>
      <c r="E24" s="136">
        <v>763.64700000000005</v>
      </c>
      <c r="F24" s="136">
        <v>763.64700000000005</v>
      </c>
      <c r="G24" s="136">
        <v>763.64700000000005</v>
      </c>
      <c r="H24" s="136">
        <v>763.64700000000005</v>
      </c>
      <c r="I24" s="136">
        <v>763.64700000000005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15"/>
    </row>
    <row r="25" spans="2:27" x14ac:dyDescent="0.75">
      <c r="B25" s="130" t="s">
        <v>42</v>
      </c>
      <c r="C25" s="136">
        <v>471693</v>
      </c>
      <c r="D25" s="136">
        <v>549086.5</v>
      </c>
      <c r="E25" s="136">
        <v>626480</v>
      </c>
      <c r="F25" s="136">
        <v>646258</v>
      </c>
      <c r="G25" s="136">
        <v>655175</v>
      </c>
      <c r="H25" s="136">
        <v>704034</v>
      </c>
      <c r="I25" s="136">
        <v>704044</v>
      </c>
      <c r="J25" s="136">
        <v>708703</v>
      </c>
      <c r="K25" s="136">
        <v>568723</v>
      </c>
      <c r="L25" s="136">
        <v>700156</v>
      </c>
      <c r="M25" s="136">
        <v>603422</v>
      </c>
      <c r="N25" s="136">
        <v>576528</v>
      </c>
      <c r="O25" s="136">
        <v>555274</v>
      </c>
      <c r="P25" s="115"/>
    </row>
    <row r="26" spans="2:27" x14ac:dyDescent="0.75">
      <c r="B26" s="130" t="s">
        <v>44</v>
      </c>
      <c r="C26" s="136">
        <v>352031.11899999995</v>
      </c>
      <c r="D26" s="136">
        <v>352012.17400000058</v>
      </c>
      <c r="E26" s="136">
        <v>351993.22899999935</v>
      </c>
      <c r="F26" s="136">
        <v>351992.03699999955</v>
      </c>
      <c r="G26" s="136">
        <v>351994.55700000003</v>
      </c>
      <c r="H26" s="136">
        <v>351993.95699999947</v>
      </c>
      <c r="I26" s="136">
        <v>351993.82899999991</v>
      </c>
      <c r="J26" s="136">
        <v>322264.42600000091</v>
      </c>
      <c r="K26" s="136">
        <v>322282.10600000061</v>
      </c>
      <c r="L26" s="136">
        <v>351749.49600000028</v>
      </c>
      <c r="M26" s="136">
        <v>351734.07599999942</v>
      </c>
      <c r="N26" s="136">
        <v>349815.73299999943</v>
      </c>
      <c r="O26" s="136">
        <v>349883.96779999975</v>
      </c>
      <c r="P26" s="115"/>
      <c r="Y26" t="s">
        <v>1</v>
      </c>
    </row>
    <row r="27" spans="2:27" x14ac:dyDescent="0.75">
      <c r="B27" s="130" t="s">
        <v>50</v>
      </c>
      <c r="C27" s="137">
        <v>930069</v>
      </c>
      <c r="D27" s="137">
        <v>931437.5</v>
      </c>
      <c r="E27" s="137">
        <v>932806</v>
      </c>
      <c r="F27" s="137">
        <v>929360</v>
      </c>
      <c r="G27" s="137">
        <v>949786</v>
      </c>
      <c r="H27" s="137">
        <v>900908</v>
      </c>
      <c r="I27" s="137">
        <v>900838</v>
      </c>
      <c r="J27" s="137">
        <v>906111</v>
      </c>
      <c r="K27" s="137">
        <v>860813</v>
      </c>
      <c r="L27" s="137">
        <v>917482</v>
      </c>
      <c r="M27" s="137">
        <v>969770</v>
      </c>
      <c r="N27" s="137">
        <v>978818</v>
      </c>
      <c r="O27" s="137">
        <v>942998</v>
      </c>
      <c r="P27" s="116"/>
      <c r="Y27" t="s">
        <v>24</v>
      </c>
      <c r="Z27" s="76">
        <v>4851715</v>
      </c>
      <c r="AA27" s="12"/>
    </row>
    <row r="28" spans="2:27" x14ac:dyDescent="0.75">
      <c r="B28" s="130" t="s">
        <v>52</v>
      </c>
      <c r="C28" s="137">
        <v>14377</v>
      </c>
      <c r="D28" s="137">
        <v>15367.6</v>
      </c>
      <c r="E28" s="137">
        <v>16358.2</v>
      </c>
      <c r="F28" s="137">
        <v>16721.900000000001</v>
      </c>
      <c r="G28" s="137">
        <v>16803.3</v>
      </c>
      <c r="H28" s="137">
        <v>16880.2</v>
      </c>
      <c r="I28" s="137">
        <v>16880.2</v>
      </c>
      <c r="J28" s="137">
        <v>17184</v>
      </c>
      <c r="K28" s="137">
        <v>16395.8</v>
      </c>
      <c r="L28" s="137">
        <v>17071.599999999999</v>
      </c>
      <c r="M28" s="137">
        <v>16376.6</v>
      </c>
      <c r="N28" s="137">
        <v>18278.400000000001</v>
      </c>
      <c r="O28" s="137">
        <v>21670.799999999999</v>
      </c>
      <c r="P28" s="116"/>
    </row>
    <row r="29" spans="2:27" x14ac:dyDescent="0.75">
      <c r="B29" s="130" t="s">
        <v>54</v>
      </c>
      <c r="C29" s="137">
        <v>43462.3</v>
      </c>
      <c r="D29" s="137">
        <v>49012.800000000003</v>
      </c>
      <c r="E29" s="137">
        <v>54563.3</v>
      </c>
      <c r="F29" s="137">
        <v>54563.3</v>
      </c>
      <c r="G29" s="137">
        <v>65249.9</v>
      </c>
      <c r="H29" s="137">
        <v>65378.5</v>
      </c>
      <c r="I29" s="137">
        <v>65378.5</v>
      </c>
      <c r="J29" s="137">
        <v>65760.399999999994</v>
      </c>
      <c r="K29" s="137">
        <v>62139.3</v>
      </c>
      <c r="L29" s="137">
        <v>65070.9</v>
      </c>
      <c r="M29" s="137">
        <v>65343.8</v>
      </c>
      <c r="N29" s="137">
        <v>70691.7</v>
      </c>
      <c r="O29" s="137">
        <v>68599.7</v>
      </c>
      <c r="P29" s="116"/>
    </row>
    <row r="30" spans="2:27" x14ac:dyDescent="0.75">
      <c r="B30" s="130" t="s">
        <v>115</v>
      </c>
      <c r="C30" s="137">
        <v>10931.7</v>
      </c>
      <c r="D30" s="137">
        <v>10931.7</v>
      </c>
      <c r="E30" s="137">
        <v>10931.7</v>
      </c>
      <c r="F30" s="137">
        <v>10931.7</v>
      </c>
      <c r="G30" s="137">
        <v>10973.6</v>
      </c>
      <c r="H30" s="137">
        <v>10973.6</v>
      </c>
      <c r="I30" s="137">
        <v>11043.9</v>
      </c>
      <c r="J30" s="137">
        <v>11463.2</v>
      </c>
      <c r="K30" s="137">
        <v>11458.9</v>
      </c>
      <c r="L30" s="137">
        <v>11388.1</v>
      </c>
      <c r="M30" s="137">
        <v>11388.1</v>
      </c>
      <c r="N30" s="137">
        <v>48795.199999999997</v>
      </c>
      <c r="O30" s="137">
        <v>45504.6</v>
      </c>
      <c r="P30" s="116"/>
    </row>
    <row r="31" spans="2:27" x14ac:dyDescent="0.75">
      <c r="B31" s="130" t="s">
        <v>68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448.15699999999998</v>
      </c>
      <c r="O31" s="137">
        <v>79.672200000000004</v>
      </c>
      <c r="P31" s="116"/>
    </row>
    <row r="32" spans="2:27" x14ac:dyDescent="0.75">
      <c r="B32" s="130" t="s">
        <v>58</v>
      </c>
      <c r="C32" s="137">
        <v>158.70400000000001</v>
      </c>
      <c r="D32" s="137">
        <v>158.70400000000001</v>
      </c>
      <c r="E32" s="137">
        <v>158.70400000000001</v>
      </c>
      <c r="F32" s="137">
        <v>158.70400000000001</v>
      </c>
      <c r="G32" s="137">
        <v>158.70400000000001</v>
      </c>
      <c r="H32" s="137">
        <v>158.70400000000001</v>
      </c>
      <c r="I32" s="137">
        <v>158.70400000000001</v>
      </c>
      <c r="J32" s="137">
        <v>158.70400000000001</v>
      </c>
      <c r="K32" s="137">
        <v>158.70400000000001</v>
      </c>
      <c r="L32" s="137">
        <v>158.70400000000001</v>
      </c>
      <c r="M32" s="137">
        <v>158.70400000000001</v>
      </c>
      <c r="N32" s="137">
        <v>175.21</v>
      </c>
      <c r="O32" s="137">
        <v>175</v>
      </c>
      <c r="P32" s="116"/>
    </row>
    <row r="33" spans="2:50" x14ac:dyDescent="0.75">
      <c r="B33" s="130" t="s">
        <v>60</v>
      </c>
      <c r="C33" s="137">
        <v>36638</v>
      </c>
      <c r="D33" s="137">
        <v>41429.599999999999</v>
      </c>
      <c r="E33" s="137">
        <v>46221.2</v>
      </c>
      <c r="F33" s="137">
        <v>46221.2</v>
      </c>
      <c r="G33" s="137">
        <v>46221.2</v>
      </c>
      <c r="H33" s="137">
        <v>46221.2</v>
      </c>
      <c r="I33" s="137">
        <v>46221.2</v>
      </c>
      <c r="J33" s="137">
        <v>46440.4</v>
      </c>
      <c r="K33" s="137">
        <v>46440.4</v>
      </c>
      <c r="L33" s="137">
        <v>46151.8</v>
      </c>
      <c r="M33" s="137">
        <v>45503.7</v>
      </c>
      <c r="N33" s="137">
        <v>26525.599999999999</v>
      </c>
      <c r="O33" s="137">
        <v>25575</v>
      </c>
      <c r="P33" s="116"/>
    </row>
    <row r="34" spans="2:50" x14ac:dyDescent="0.75">
      <c r="B34" s="130" t="s">
        <v>62</v>
      </c>
      <c r="C34" s="137">
        <v>394375</v>
      </c>
      <c r="D34" s="137">
        <v>456595.5</v>
      </c>
      <c r="E34" s="137">
        <v>518816</v>
      </c>
      <c r="F34" s="137">
        <v>521051</v>
      </c>
      <c r="G34" s="137">
        <v>527044</v>
      </c>
      <c r="H34" s="137">
        <v>527044</v>
      </c>
      <c r="I34" s="137">
        <v>527034</v>
      </c>
      <c r="J34" s="137">
        <v>530472</v>
      </c>
      <c r="K34" s="137">
        <v>529565</v>
      </c>
      <c r="L34" s="137">
        <v>516113</v>
      </c>
      <c r="M34" s="137">
        <v>554354</v>
      </c>
      <c r="N34" s="137">
        <v>532291</v>
      </c>
      <c r="O34" s="137">
        <v>437538</v>
      </c>
      <c r="P34" s="116"/>
    </row>
    <row r="35" spans="2:50" x14ac:dyDescent="0.75">
      <c r="B35" s="132" t="s">
        <v>116</v>
      </c>
      <c r="C35" s="138">
        <f>SUM(C20:C34)</f>
        <v>2411318.6999999997</v>
      </c>
      <c r="D35" s="138">
        <f t="shared" ref="D35:O35" si="5">SUM(D20:D34)</f>
        <v>2586115.1000000006</v>
      </c>
      <c r="E35" s="138">
        <f t="shared" si="5"/>
        <v>2760911.4999999995</v>
      </c>
      <c r="F35" s="138">
        <f t="shared" si="5"/>
        <v>2780823.7999999993</v>
      </c>
      <c r="G35" s="138">
        <f t="shared" si="5"/>
        <v>2828047.1</v>
      </c>
      <c r="H35" s="138">
        <f t="shared" si="5"/>
        <v>2828664</v>
      </c>
      <c r="I35" s="138">
        <f t="shared" si="5"/>
        <v>2828955</v>
      </c>
      <c r="J35" s="138">
        <f t="shared" si="5"/>
        <v>2826782.6000000006</v>
      </c>
      <c r="K35" s="138">
        <f t="shared" si="5"/>
        <v>2874635.3</v>
      </c>
      <c r="L35" s="138">
        <f t="shared" si="5"/>
        <v>2897808.6</v>
      </c>
      <c r="M35" s="138">
        <f t="shared" si="5"/>
        <v>2902727.7999999993</v>
      </c>
      <c r="N35" s="138">
        <f t="shared" si="5"/>
        <v>2937465.1</v>
      </c>
      <c r="O35" s="138">
        <f t="shared" si="5"/>
        <v>2767158.4</v>
      </c>
      <c r="P35" s="117"/>
    </row>
    <row r="36" spans="2:50" x14ac:dyDescent="0.75">
      <c r="B36" s="133" t="s">
        <v>118</v>
      </c>
      <c r="C36" s="140">
        <f t="shared" ref="C36:O36" si="6">(C35/(C14+C35))*100</f>
        <v>49.70033689118177</v>
      </c>
      <c r="D36" s="140">
        <f t="shared" si="6"/>
        <v>53.30311240458272</v>
      </c>
      <c r="E36" s="140">
        <f t="shared" si="6"/>
        <v>56.905887917983634</v>
      </c>
      <c r="F36" s="140">
        <f t="shared" si="6"/>
        <v>57.316305677476933</v>
      </c>
      <c r="G36" s="140">
        <f t="shared" si="6"/>
        <v>58.289637787875016</v>
      </c>
      <c r="H36" s="140">
        <f t="shared" si="6"/>
        <v>58.302352879342664</v>
      </c>
      <c r="I36" s="140">
        <f t="shared" si="6"/>
        <v>58.308350758443147</v>
      </c>
      <c r="J36" s="140">
        <f t="shared" si="6"/>
        <v>58.263574839000242</v>
      </c>
      <c r="K36" s="140">
        <f t="shared" si="6"/>
        <v>59.249879681720785</v>
      </c>
      <c r="L36" s="140">
        <f t="shared" si="6"/>
        <v>59.727510787422588</v>
      </c>
      <c r="M36" s="140">
        <f t="shared" si="6"/>
        <v>59.828901738869654</v>
      </c>
      <c r="N36" s="140">
        <f t="shared" si="6"/>
        <v>60.544881552193395</v>
      </c>
      <c r="O36" s="140">
        <f t="shared" si="6"/>
        <v>57.034644450467511</v>
      </c>
      <c r="P36" s="120"/>
    </row>
    <row r="37" spans="2:50" x14ac:dyDescent="0.75">
      <c r="B37" s="133" t="s">
        <v>119</v>
      </c>
      <c r="C37" s="126"/>
      <c r="D37" s="138">
        <f>D35-C35</f>
        <v>174796.40000000084</v>
      </c>
      <c r="E37" s="138">
        <f t="shared" ref="E37:O37" si="7">E35-D35</f>
        <v>174796.39999999898</v>
      </c>
      <c r="F37" s="138">
        <f t="shared" si="7"/>
        <v>19912.299999999814</v>
      </c>
      <c r="G37" s="138">
        <f t="shared" si="7"/>
        <v>47223.300000000745</v>
      </c>
      <c r="H37" s="138">
        <f t="shared" si="7"/>
        <v>616.89999999990687</v>
      </c>
      <c r="I37" s="138">
        <f t="shared" si="7"/>
        <v>291</v>
      </c>
      <c r="J37" s="138">
        <f t="shared" si="7"/>
        <v>-2172.3999999994412</v>
      </c>
      <c r="K37" s="138">
        <f t="shared" si="7"/>
        <v>47852.699999999255</v>
      </c>
      <c r="L37" s="138">
        <f t="shared" si="7"/>
        <v>23173.300000000279</v>
      </c>
      <c r="M37" s="138">
        <f t="shared" si="7"/>
        <v>4919.1999999992549</v>
      </c>
      <c r="N37" s="138">
        <f t="shared" si="7"/>
        <v>34737.300000000745</v>
      </c>
      <c r="O37" s="138">
        <f t="shared" si="7"/>
        <v>-170306.70000000019</v>
      </c>
      <c r="P37" s="117"/>
    </row>
    <row r="38" spans="2:50" x14ac:dyDescent="0.75">
      <c r="D38" s="149">
        <f t="shared" ref="D38:O38" si="8">(D35-C35)/C35</f>
        <v>7.2489961613121004E-2</v>
      </c>
      <c r="E38" s="149">
        <f t="shared" si="8"/>
        <v>6.7590340429936363E-2</v>
      </c>
      <c r="F38" s="149">
        <f t="shared" si="8"/>
        <v>7.212219587625252E-3</v>
      </c>
      <c r="G38" s="149">
        <f t="shared" si="8"/>
        <v>1.6981766338450052E-2</v>
      </c>
      <c r="H38" s="149">
        <f t="shared" si="8"/>
        <v>2.1813639525307299E-4</v>
      </c>
      <c r="I38" s="149">
        <f t="shared" si="8"/>
        <v>1.0287542104682634E-4</v>
      </c>
      <c r="J38" s="149">
        <f t="shared" si="8"/>
        <v>-7.6791606794715409E-4</v>
      </c>
      <c r="K38" s="149">
        <f t="shared" si="8"/>
        <v>1.6928326925459088E-2</v>
      </c>
      <c r="L38" s="149">
        <f t="shared" si="8"/>
        <v>8.061300854407611E-3</v>
      </c>
      <c r="M38" s="149">
        <f t="shared" si="8"/>
        <v>1.6975586310287211E-3</v>
      </c>
      <c r="N38" s="149">
        <f t="shared" si="8"/>
        <v>1.1967122787055938E-2</v>
      </c>
      <c r="O38" s="149">
        <f t="shared" si="8"/>
        <v>-5.7977437757473334E-2</v>
      </c>
      <c r="P38" s="98"/>
    </row>
    <row r="39" spans="2:50" x14ac:dyDescent="0.75">
      <c r="D39" s="149">
        <f t="shared" ref="D39:O39" si="9">D38*100</f>
        <v>7.2489961613121006</v>
      </c>
      <c r="E39" s="149">
        <f t="shared" si="9"/>
        <v>6.759034042993636</v>
      </c>
      <c r="F39" s="149">
        <f t="shared" si="9"/>
        <v>0.72122195876252515</v>
      </c>
      <c r="G39" s="149">
        <f t="shared" si="9"/>
        <v>1.6981766338450051</v>
      </c>
      <c r="H39" s="149">
        <f t="shared" si="9"/>
        <v>2.18136395253073E-2</v>
      </c>
      <c r="I39" s="149">
        <f t="shared" si="9"/>
        <v>1.0287542104682634E-2</v>
      </c>
      <c r="J39" s="149">
        <f t="shared" si="9"/>
        <v>-7.6791606794715403E-2</v>
      </c>
      <c r="K39" s="149">
        <f t="shared" si="9"/>
        <v>1.6928326925459087</v>
      </c>
      <c r="L39" s="149">
        <f t="shared" si="9"/>
        <v>0.80613008544076115</v>
      </c>
      <c r="M39" s="149">
        <f t="shared" si="9"/>
        <v>0.16975586310287211</v>
      </c>
      <c r="N39" s="149">
        <f t="shared" si="9"/>
        <v>1.1967122787055937</v>
      </c>
      <c r="O39" s="149">
        <f t="shared" si="9"/>
        <v>-5.7977437757473336</v>
      </c>
      <c r="P39" s="98"/>
    </row>
    <row r="40" spans="2:50" x14ac:dyDescent="0.75">
      <c r="W40">
        <v>8228.2900000000009</v>
      </c>
    </row>
    <row r="41" spans="2:50" s="96" customFormat="1" ht="13.25" x14ac:dyDescent="0.65">
      <c r="B41" s="124" t="s">
        <v>120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</row>
    <row r="42" spans="2:50" x14ac:dyDescent="0.75">
      <c r="B42" s="124" t="s">
        <v>122</v>
      </c>
    </row>
    <row r="43" spans="2:50" x14ac:dyDescent="0.75">
      <c r="B43" s="198" t="s">
        <v>110</v>
      </c>
      <c r="C43" s="201" t="s">
        <v>113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4"/>
      <c r="P43" s="121" t="s">
        <v>132</v>
      </c>
      <c r="Q43" s="179" t="s">
        <v>126</v>
      </c>
      <c r="R43" s="180"/>
      <c r="S43" s="181"/>
      <c r="T43" s="175" t="s">
        <v>123</v>
      </c>
      <c r="U43" s="176"/>
      <c r="V43" s="100"/>
    </row>
    <row r="44" spans="2:50" x14ac:dyDescent="0.75">
      <c r="B44" s="199"/>
      <c r="C44" s="134">
        <v>1990</v>
      </c>
      <c r="D44" s="147">
        <v>1996</v>
      </c>
      <c r="E44" s="147">
        <v>2000</v>
      </c>
      <c r="F44" s="147">
        <v>2003</v>
      </c>
      <c r="G44" s="147">
        <v>2006</v>
      </c>
      <c r="H44" s="147">
        <v>2009</v>
      </c>
      <c r="I44" s="147">
        <v>2011</v>
      </c>
      <c r="J44" s="147">
        <v>2014</v>
      </c>
      <c r="K44" s="147">
        <v>2015</v>
      </c>
      <c r="L44" s="147">
        <v>2016</v>
      </c>
      <c r="M44" s="147">
        <v>2017</v>
      </c>
      <c r="N44" s="147">
        <v>2018</v>
      </c>
      <c r="O44" s="151">
        <v>2019</v>
      </c>
      <c r="P44" s="112" t="s">
        <v>133</v>
      </c>
      <c r="Q44" s="182"/>
      <c r="R44" s="183"/>
      <c r="S44" s="184"/>
      <c r="T44" s="177"/>
      <c r="U44" s="178"/>
      <c r="V44" s="100"/>
    </row>
    <row r="45" spans="2:50" x14ac:dyDescent="0.75">
      <c r="B45" s="200"/>
      <c r="C45" s="135" t="s">
        <v>114</v>
      </c>
      <c r="D45" s="135" t="s">
        <v>114</v>
      </c>
      <c r="E45" s="135" t="s">
        <v>114</v>
      </c>
      <c r="F45" s="135" t="s">
        <v>114</v>
      </c>
      <c r="G45" s="135" t="s">
        <v>114</v>
      </c>
      <c r="H45" s="135" t="s">
        <v>114</v>
      </c>
      <c r="I45" s="135" t="s">
        <v>114</v>
      </c>
      <c r="J45" s="135" t="s">
        <v>114</v>
      </c>
      <c r="K45" s="135" t="s">
        <v>114</v>
      </c>
      <c r="L45" s="135" t="s">
        <v>114</v>
      </c>
      <c r="M45" s="135" t="s">
        <v>114</v>
      </c>
      <c r="N45" s="135" t="s">
        <v>114</v>
      </c>
      <c r="O45" s="135" t="s">
        <v>114</v>
      </c>
      <c r="P45" s="122" t="s">
        <v>114</v>
      </c>
      <c r="Q45" s="90" t="s">
        <v>127</v>
      </c>
      <c r="R45" s="75" t="s">
        <v>128</v>
      </c>
      <c r="S45" s="91" t="s">
        <v>129</v>
      </c>
      <c r="T45" s="85" t="s">
        <v>124</v>
      </c>
      <c r="U45" s="75" t="s">
        <v>125</v>
      </c>
      <c r="V45" s="99"/>
      <c r="W45" s="75" t="s">
        <v>130</v>
      </c>
      <c r="X45" s="99"/>
    </row>
    <row r="46" spans="2:50" x14ac:dyDescent="0.75">
      <c r="B46" s="130" t="s">
        <v>26</v>
      </c>
      <c r="C46" s="146">
        <v>694737</v>
      </c>
      <c r="D46" s="146">
        <v>664756.5</v>
      </c>
      <c r="E46" s="146">
        <v>634776</v>
      </c>
      <c r="F46" s="146">
        <v>619004</v>
      </c>
      <c r="G46" s="146">
        <v>598828</v>
      </c>
      <c r="H46" s="146">
        <v>553728</v>
      </c>
      <c r="I46" s="146">
        <v>553098</v>
      </c>
      <c r="J46" s="146">
        <v>543670</v>
      </c>
      <c r="K46" s="146">
        <v>529715</v>
      </c>
      <c r="L46" s="146">
        <v>522977</v>
      </c>
      <c r="M46" s="146">
        <v>519144</v>
      </c>
      <c r="N46" s="146">
        <v>401879</v>
      </c>
      <c r="O46" s="155">
        <v>500359</v>
      </c>
      <c r="P46" s="123">
        <f>SUM(C46:O46)</f>
        <v>7336671.5</v>
      </c>
      <c r="Q46" s="92">
        <f>AP46</f>
        <v>8206.6666666666661</v>
      </c>
      <c r="R46" s="79">
        <f>ABS(AO46)</f>
        <v>24404.833333333332</v>
      </c>
      <c r="S46" s="93">
        <f>Q46-R46</f>
        <v>-16198.166666666666</v>
      </c>
      <c r="T46" s="86">
        <f>S46*12</f>
        <v>-194378</v>
      </c>
      <c r="U46" s="83">
        <f t="shared" ref="U46:U66" si="10">100*T46/C46</f>
        <v>-27.978645156368525</v>
      </c>
      <c r="V46" s="101"/>
      <c r="W46" s="98">
        <f t="shared" ref="W46:W66" si="11">100*T46/SUM($C$46:$C$66)</f>
        <v>-4.0063771264387951</v>
      </c>
      <c r="X46" s="98"/>
      <c r="Y46" s="78">
        <f t="shared" ref="Y46:Y66" si="12">D46-C46</f>
        <v>-29980.5</v>
      </c>
      <c r="Z46" s="78">
        <f t="shared" ref="Z46:Z66" si="13">E46-D46</f>
        <v>-29980.5</v>
      </c>
      <c r="AA46" s="78">
        <f t="shared" ref="AA46:AA66" si="14">F46-E46</f>
        <v>-15772</v>
      </c>
      <c r="AB46" s="78">
        <f t="shared" ref="AB46:AB66" si="15">G46-F46</f>
        <v>-20176</v>
      </c>
      <c r="AC46" s="78">
        <f t="shared" ref="AC46:AC66" si="16">H46-G46</f>
        <v>-45100</v>
      </c>
      <c r="AD46" s="78">
        <f t="shared" ref="AD46:AD66" si="17">I46-H46</f>
        <v>-630</v>
      </c>
      <c r="AE46" s="78">
        <f t="shared" ref="AE46:AE66" si="18">J46-I46</f>
        <v>-9428</v>
      </c>
      <c r="AF46" s="78">
        <f t="shared" ref="AF46:AF66" si="19">K46-J46</f>
        <v>-13955</v>
      </c>
      <c r="AG46" s="78">
        <f t="shared" ref="AG46:AG66" si="20">L46-K46</f>
        <v>-6738</v>
      </c>
      <c r="AH46" s="78">
        <f t="shared" ref="AH46:AH66" si="21">M46-L46</f>
        <v>-3833</v>
      </c>
      <c r="AI46" s="78">
        <f t="shared" ref="AI46:AI66" si="22">N46-M46</f>
        <v>-117265</v>
      </c>
      <c r="AJ46" s="78">
        <f t="shared" ref="AJ46:AJ66" si="23">O46-N46</f>
        <v>98480</v>
      </c>
      <c r="AK46" s="78">
        <f t="shared" ref="AK46:AK65" si="24">SUMIF(Y46:AJ46,"&lt;0")</f>
        <v>-292858</v>
      </c>
      <c r="AL46" s="78">
        <f t="shared" ref="AL46:AL65" si="25">SUMIF(Y46:AJ46,"&gt;0")</f>
        <v>98480</v>
      </c>
      <c r="AM46" s="78">
        <f t="shared" ref="AM46:AM66" si="26">AK46+AL46-(O46-C46)</f>
        <v>0</v>
      </c>
      <c r="AN46" s="78"/>
      <c r="AO46" s="78">
        <f>AK46/12</f>
        <v>-24404.833333333332</v>
      </c>
      <c r="AP46" s="78">
        <f>AL46/12</f>
        <v>8206.6666666666661</v>
      </c>
      <c r="AQ46" s="82">
        <f>AO46+AP46</f>
        <v>-16198.166666666666</v>
      </c>
      <c r="AR46" s="82">
        <f t="shared" ref="AR46:AR66" si="27">((O46-C46)/12)-AQ46</f>
        <v>0</v>
      </c>
      <c r="AT46" s="82"/>
      <c r="AU46" s="82"/>
      <c r="AV46" s="82"/>
      <c r="AW46" s="82"/>
      <c r="AX46" s="82"/>
    </row>
    <row r="47" spans="2:50" x14ac:dyDescent="0.75">
      <c r="B47" s="130" t="s">
        <v>28</v>
      </c>
      <c r="C47" s="146">
        <v>638049</v>
      </c>
      <c r="D47" s="146">
        <v>620772.5</v>
      </c>
      <c r="E47" s="146">
        <v>603496</v>
      </c>
      <c r="F47" s="146">
        <v>618381</v>
      </c>
      <c r="G47" s="146">
        <v>627494</v>
      </c>
      <c r="H47" s="146">
        <v>672086</v>
      </c>
      <c r="I47" s="146">
        <v>672425</v>
      </c>
      <c r="J47" s="146">
        <v>678803</v>
      </c>
      <c r="K47" s="146">
        <v>664888</v>
      </c>
      <c r="L47" s="146">
        <v>654663</v>
      </c>
      <c r="M47" s="146">
        <v>652518</v>
      </c>
      <c r="N47" s="146">
        <v>732934</v>
      </c>
      <c r="O47" s="155">
        <v>631295</v>
      </c>
      <c r="P47" s="123">
        <f t="shared" ref="P47:P66" si="28">SUM(C47:O47)</f>
        <v>8467804.5</v>
      </c>
      <c r="Q47" s="92">
        <f t="shared" ref="Q47:Q66" si="29">AP47</f>
        <v>12976.916666666666</v>
      </c>
      <c r="R47" s="79">
        <f t="shared" ref="R47:R66" si="30">ABS(AO47)</f>
        <v>13539.75</v>
      </c>
      <c r="S47" s="93">
        <f t="shared" ref="S47:S66" si="31">Q47-R47</f>
        <v>-562.83333333333394</v>
      </c>
      <c r="T47" s="86">
        <f t="shared" ref="T47:T66" si="32">S47*12</f>
        <v>-6754.0000000000073</v>
      </c>
      <c r="U47" s="83">
        <f t="shared" si="10"/>
        <v>-1.0585393911752869</v>
      </c>
      <c r="V47" s="101"/>
      <c r="W47" s="98">
        <f t="shared" si="11"/>
        <v>-0.13920850668268864</v>
      </c>
      <c r="X47" s="98"/>
      <c r="Y47" s="78">
        <f t="shared" si="12"/>
        <v>-17276.5</v>
      </c>
      <c r="Z47" s="78">
        <f t="shared" si="13"/>
        <v>-17276.5</v>
      </c>
      <c r="AA47" s="78">
        <f t="shared" si="14"/>
        <v>14885</v>
      </c>
      <c r="AB47" s="78">
        <f t="shared" si="15"/>
        <v>9113</v>
      </c>
      <c r="AC47" s="78">
        <f t="shared" si="16"/>
        <v>44592</v>
      </c>
      <c r="AD47" s="78">
        <f t="shared" si="17"/>
        <v>339</v>
      </c>
      <c r="AE47" s="78">
        <f t="shared" si="18"/>
        <v>6378</v>
      </c>
      <c r="AF47" s="78">
        <f t="shared" si="19"/>
        <v>-13915</v>
      </c>
      <c r="AG47" s="78">
        <f t="shared" si="20"/>
        <v>-10225</v>
      </c>
      <c r="AH47" s="78">
        <f t="shared" si="21"/>
        <v>-2145</v>
      </c>
      <c r="AI47" s="78">
        <f t="shared" si="22"/>
        <v>80416</v>
      </c>
      <c r="AJ47" s="78">
        <f t="shared" si="23"/>
        <v>-101639</v>
      </c>
      <c r="AK47" s="78">
        <f t="shared" si="24"/>
        <v>-162477</v>
      </c>
      <c r="AL47" s="78">
        <f t="shared" si="25"/>
        <v>155723</v>
      </c>
      <c r="AM47" s="78">
        <f t="shared" si="26"/>
        <v>0</v>
      </c>
      <c r="AN47" s="78"/>
      <c r="AO47" s="78">
        <f t="shared" ref="AO47:AP66" si="33">AK47/12</f>
        <v>-13539.75</v>
      </c>
      <c r="AP47" s="78">
        <f t="shared" si="33"/>
        <v>12976.916666666666</v>
      </c>
      <c r="AQ47" s="82">
        <f t="shared" ref="AQ47:AQ66" si="34">AO47+AP47</f>
        <v>-562.83333333333394</v>
      </c>
      <c r="AR47" s="82">
        <f t="shared" si="27"/>
        <v>0</v>
      </c>
      <c r="AT47" s="82"/>
      <c r="AU47" s="82"/>
      <c r="AV47" s="82"/>
      <c r="AW47" s="82"/>
      <c r="AX47" s="82"/>
    </row>
    <row r="48" spans="2:50" x14ac:dyDescent="0.75">
      <c r="B48" s="130" t="s">
        <v>30</v>
      </c>
      <c r="C48" s="141">
        <v>208727</v>
      </c>
      <c r="D48" s="141">
        <v>207345</v>
      </c>
      <c r="E48" s="141">
        <v>205963</v>
      </c>
      <c r="F48" s="141">
        <v>201768</v>
      </c>
      <c r="G48" s="141">
        <v>196510</v>
      </c>
      <c r="H48" s="141">
        <v>196510</v>
      </c>
      <c r="I48" s="141">
        <v>196510</v>
      </c>
      <c r="J48" s="141">
        <v>197808</v>
      </c>
      <c r="K48" s="141">
        <v>196758</v>
      </c>
      <c r="L48" s="141">
        <v>195162</v>
      </c>
      <c r="M48" s="141">
        <v>195007</v>
      </c>
      <c r="N48" s="141">
        <v>195660</v>
      </c>
      <c r="O48" s="152">
        <v>195384</v>
      </c>
      <c r="P48" s="123">
        <f t="shared" si="28"/>
        <v>2589112</v>
      </c>
      <c r="Q48" s="92">
        <f t="shared" si="29"/>
        <v>162.58333333333334</v>
      </c>
      <c r="R48" s="79">
        <f t="shared" si="30"/>
        <v>1274.5</v>
      </c>
      <c r="S48" s="93">
        <f t="shared" si="31"/>
        <v>-1111.9166666666667</v>
      </c>
      <c r="T48" s="86">
        <f t="shared" si="32"/>
        <v>-13343</v>
      </c>
      <c r="U48" s="83">
        <f t="shared" si="10"/>
        <v>-6.3925606174572529</v>
      </c>
      <c r="V48" s="101"/>
      <c r="W48" s="98">
        <f t="shared" si="11"/>
        <v>-0.27501615408159796</v>
      </c>
      <c r="X48" s="98"/>
      <c r="Y48" s="78">
        <f t="shared" si="12"/>
        <v>-1382</v>
      </c>
      <c r="Z48" s="78">
        <f t="shared" si="13"/>
        <v>-1382</v>
      </c>
      <c r="AA48" s="78">
        <f t="shared" si="14"/>
        <v>-4195</v>
      </c>
      <c r="AB48" s="78">
        <f t="shared" si="15"/>
        <v>-5258</v>
      </c>
      <c r="AC48" s="78">
        <f t="shared" si="16"/>
        <v>0</v>
      </c>
      <c r="AD48" s="78">
        <f t="shared" si="17"/>
        <v>0</v>
      </c>
      <c r="AE48" s="78">
        <f t="shared" si="18"/>
        <v>1298</v>
      </c>
      <c r="AF48" s="78">
        <f t="shared" si="19"/>
        <v>-1050</v>
      </c>
      <c r="AG48" s="78">
        <f t="shared" si="20"/>
        <v>-1596</v>
      </c>
      <c r="AH48" s="78">
        <f t="shared" si="21"/>
        <v>-155</v>
      </c>
      <c r="AI48" s="78">
        <f t="shared" si="22"/>
        <v>653</v>
      </c>
      <c r="AJ48" s="78">
        <f t="shared" si="23"/>
        <v>-276</v>
      </c>
      <c r="AK48" s="78">
        <f t="shared" si="24"/>
        <v>-15294</v>
      </c>
      <c r="AL48" s="78">
        <f t="shared" si="25"/>
        <v>1951</v>
      </c>
      <c r="AM48" s="78">
        <f t="shared" si="26"/>
        <v>0</v>
      </c>
      <c r="AN48" s="78"/>
      <c r="AO48" s="78">
        <f t="shared" si="33"/>
        <v>-1274.5</v>
      </c>
      <c r="AP48" s="78">
        <f t="shared" si="33"/>
        <v>162.58333333333334</v>
      </c>
      <c r="AQ48" s="82">
        <f t="shared" si="34"/>
        <v>-1111.9166666666667</v>
      </c>
      <c r="AR48" s="82">
        <f t="shared" si="27"/>
        <v>0</v>
      </c>
      <c r="AT48" s="82"/>
      <c r="AU48" s="82"/>
      <c r="AV48" s="82"/>
      <c r="AW48" s="82"/>
      <c r="AX48" s="82"/>
    </row>
    <row r="49" spans="2:50" x14ac:dyDescent="0.75">
      <c r="B49" s="130" t="s">
        <v>46</v>
      </c>
      <c r="C49" s="141">
        <v>25345.3</v>
      </c>
      <c r="D49" s="141">
        <v>24208.9</v>
      </c>
      <c r="E49" s="141">
        <v>23072.5</v>
      </c>
      <c r="F49" s="141">
        <v>25776.2</v>
      </c>
      <c r="G49" s="141">
        <v>23677.9</v>
      </c>
      <c r="H49" s="141">
        <v>23574</v>
      </c>
      <c r="I49" s="141">
        <v>23574</v>
      </c>
      <c r="J49" s="141">
        <v>23675.4</v>
      </c>
      <c r="K49" s="141">
        <v>23520.7</v>
      </c>
      <c r="L49" s="141">
        <v>23876.400000000001</v>
      </c>
      <c r="M49" s="141">
        <v>23829.200000000001</v>
      </c>
      <c r="N49" s="141">
        <v>23931.9</v>
      </c>
      <c r="O49" s="152">
        <v>24059.599999999999</v>
      </c>
      <c r="P49" s="123">
        <f t="shared" si="28"/>
        <v>312122</v>
      </c>
      <c r="Q49" s="92">
        <f t="shared" si="29"/>
        <v>282.60000000000008</v>
      </c>
      <c r="R49" s="79">
        <f t="shared" si="30"/>
        <v>389.74166666666679</v>
      </c>
      <c r="S49" s="93">
        <f t="shared" si="31"/>
        <v>-107.14166666666671</v>
      </c>
      <c r="T49" s="86">
        <f t="shared" si="32"/>
        <v>-1285.7000000000005</v>
      </c>
      <c r="U49" s="83">
        <f t="shared" si="10"/>
        <v>-5.0727353789459997</v>
      </c>
      <c r="V49" s="101"/>
      <c r="W49" s="98">
        <f t="shared" si="11"/>
        <v>-2.649990776457398E-2</v>
      </c>
      <c r="X49" s="98"/>
      <c r="Y49" s="78">
        <f t="shared" si="12"/>
        <v>-1136.3999999999978</v>
      </c>
      <c r="Z49" s="78">
        <f t="shared" si="13"/>
        <v>-1136.4000000000015</v>
      </c>
      <c r="AA49" s="78">
        <f t="shared" si="14"/>
        <v>2703.7000000000007</v>
      </c>
      <c r="AB49" s="78">
        <f t="shared" si="15"/>
        <v>-2098.2999999999993</v>
      </c>
      <c r="AC49" s="78">
        <f t="shared" si="16"/>
        <v>-103.90000000000146</v>
      </c>
      <c r="AD49" s="78">
        <f t="shared" si="17"/>
        <v>0</v>
      </c>
      <c r="AE49" s="78">
        <f t="shared" si="18"/>
        <v>101.40000000000146</v>
      </c>
      <c r="AF49" s="78">
        <f t="shared" si="19"/>
        <v>-154.70000000000073</v>
      </c>
      <c r="AG49" s="78">
        <f t="shared" si="20"/>
        <v>355.70000000000073</v>
      </c>
      <c r="AH49" s="78">
        <f t="shared" si="21"/>
        <v>-47.200000000000728</v>
      </c>
      <c r="AI49" s="78">
        <f t="shared" si="22"/>
        <v>102.70000000000073</v>
      </c>
      <c r="AJ49" s="78">
        <f t="shared" si="23"/>
        <v>127.69999999999709</v>
      </c>
      <c r="AK49" s="78">
        <f t="shared" si="24"/>
        <v>-4676.9000000000015</v>
      </c>
      <c r="AL49" s="78">
        <f t="shared" si="25"/>
        <v>3391.2000000000007</v>
      </c>
      <c r="AM49" s="78">
        <f t="shared" si="26"/>
        <v>0</v>
      </c>
      <c r="AN49" s="78"/>
      <c r="AO49" s="78">
        <f t="shared" si="33"/>
        <v>-389.74166666666679</v>
      </c>
      <c r="AP49" s="78">
        <f t="shared" si="33"/>
        <v>282.60000000000008</v>
      </c>
      <c r="AQ49" s="82">
        <f t="shared" si="34"/>
        <v>-107.14166666666671</v>
      </c>
      <c r="AR49" s="82">
        <f t="shared" si="27"/>
        <v>0</v>
      </c>
      <c r="AT49" s="82"/>
      <c r="AU49" s="82"/>
      <c r="AV49" s="82"/>
      <c r="AW49" s="82"/>
      <c r="AX49" s="82"/>
    </row>
    <row r="50" spans="2:50" x14ac:dyDescent="0.75">
      <c r="B50" s="130" t="s">
        <v>32</v>
      </c>
      <c r="C50" s="142">
        <v>342429</v>
      </c>
      <c r="D50" s="142">
        <v>329304</v>
      </c>
      <c r="E50" s="142">
        <v>316179</v>
      </c>
      <c r="F50" s="142">
        <v>292789</v>
      </c>
      <c r="G50" s="142">
        <v>238249</v>
      </c>
      <c r="H50" s="142">
        <v>205343</v>
      </c>
      <c r="I50" s="142">
        <v>205343</v>
      </c>
      <c r="J50" s="142">
        <v>206530</v>
      </c>
      <c r="K50" s="142">
        <v>202799</v>
      </c>
      <c r="L50" s="142">
        <v>200958</v>
      </c>
      <c r="M50" s="142">
        <v>200400</v>
      </c>
      <c r="N50" s="142">
        <v>202694</v>
      </c>
      <c r="O50" s="153">
        <v>202193</v>
      </c>
      <c r="P50" s="123">
        <f t="shared" si="28"/>
        <v>3145210</v>
      </c>
      <c r="Q50" s="92">
        <f t="shared" si="29"/>
        <v>290.08333333333331</v>
      </c>
      <c r="R50" s="79">
        <f t="shared" si="30"/>
        <v>11976.416666666666</v>
      </c>
      <c r="S50" s="93">
        <f t="shared" si="31"/>
        <v>-11686.333333333332</v>
      </c>
      <c r="T50" s="86">
        <f t="shared" si="32"/>
        <v>-140236</v>
      </c>
      <c r="U50" s="83">
        <f t="shared" si="10"/>
        <v>-40.953307108918928</v>
      </c>
      <c r="V50" s="101"/>
      <c r="W50" s="98">
        <f t="shared" si="11"/>
        <v>-2.8904418334547679</v>
      </c>
      <c r="X50" s="98"/>
      <c r="Y50" s="78">
        <f t="shared" si="12"/>
        <v>-13125</v>
      </c>
      <c r="Z50" s="78">
        <f t="shared" si="13"/>
        <v>-13125</v>
      </c>
      <c r="AA50" s="78">
        <f t="shared" si="14"/>
        <v>-23390</v>
      </c>
      <c r="AB50" s="78">
        <f t="shared" si="15"/>
        <v>-54540</v>
      </c>
      <c r="AC50" s="78">
        <f t="shared" si="16"/>
        <v>-32906</v>
      </c>
      <c r="AD50" s="78">
        <f t="shared" si="17"/>
        <v>0</v>
      </c>
      <c r="AE50" s="78">
        <f t="shared" si="18"/>
        <v>1187</v>
      </c>
      <c r="AF50" s="78">
        <f t="shared" si="19"/>
        <v>-3731</v>
      </c>
      <c r="AG50" s="78">
        <f t="shared" si="20"/>
        <v>-1841</v>
      </c>
      <c r="AH50" s="78">
        <f t="shared" si="21"/>
        <v>-558</v>
      </c>
      <c r="AI50" s="78">
        <f t="shared" si="22"/>
        <v>2294</v>
      </c>
      <c r="AJ50" s="78">
        <f t="shared" si="23"/>
        <v>-501</v>
      </c>
      <c r="AK50" s="78">
        <f t="shared" si="24"/>
        <v>-143717</v>
      </c>
      <c r="AL50" s="78">
        <f t="shared" si="25"/>
        <v>3481</v>
      </c>
      <c r="AM50" s="78">
        <f t="shared" si="26"/>
        <v>0</v>
      </c>
      <c r="AN50" s="78"/>
      <c r="AO50" s="78">
        <f t="shared" si="33"/>
        <v>-11976.416666666666</v>
      </c>
      <c r="AP50" s="78">
        <f t="shared" si="33"/>
        <v>290.08333333333331</v>
      </c>
      <c r="AQ50" s="82">
        <f t="shared" si="34"/>
        <v>-11686.333333333332</v>
      </c>
      <c r="AR50" s="82">
        <f t="shared" si="27"/>
        <v>0</v>
      </c>
      <c r="AT50" s="82"/>
      <c r="AU50" s="82"/>
      <c r="AV50" s="82"/>
      <c r="AW50" s="82"/>
      <c r="AX50" s="82"/>
    </row>
    <row r="51" spans="2:50" x14ac:dyDescent="0.75">
      <c r="B51" s="130" t="s">
        <v>48</v>
      </c>
      <c r="C51" s="142">
        <v>531109</v>
      </c>
      <c r="D51" s="142">
        <v>419213</v>
      </c>
      <c r="E51" s="142">
        <v>307317</v>
      </c>
      <c r="F51" s="142">
        <v>313173</v>
      </c>
      <c r="G51" s="142">
        <v>338909</v>
      </c>
      <c r="H51" s="142">
        <v>371810</v>
      </c>
      <c r="I51" s="142">
        <v>371810</v>
      </c>
      <c r="J51" s="142">
        <v>374446</v>
      </c>
      <c r="K51" s="142">
        <v>359399</v>
      </c>
      <c r="L51" s="142">
        <v>356270</v>
      </c>
      <c r="M51" s="142">
        <v>358089</v>
      </c>
      <c r="N51" s="142">
        <v>357151</v>
      </c>
      <c r="O51" s="153">
        <v>531266</v>
      </c>
      <c r="P51" s="123">
        <f t="shared" si="28"/>
        <v>4989962</v>
      </c>
      <c r="Q51" s="92">
        <f t="shared" si="29"/>
        <v>20255.25</v>
      </c>
      <c r="R51" s="79">
        <f t="shared" si="30"/>
        <v>20242.166666666668</v>
      </c>
      <c r="S51" s="93">
        <f t="shared" si="31"/>
        <v>13.083333333332121</v>
      </c>
      <c r="T51" s="86">
        <f t="shared" si="32"/>
        <v>156.99999999998545</v>
      </c>
      <c r="U51" s="83">
        <f t="shared" si="10"/>
        <v>2.9560786957100228E-2</v>
      </c>
      <c r="V51" s="101"/>
      <c r="W51" s="98">
        <f t="shared" si="11"/>
        <v>3.2359691366864183E-3</v>
      </c>
      <c r="X51" s="98"/>
      <c r="Y51" s="78">
        <f t="shared" si="12"/>
        <v>-111896</v>
      </c>
      <c r="Z51" s="78">
        <f t="shared" si="13"/>
        <v>-111896</v>
      </c>
      <c r="AA51" s="78">
        <f t="shared" si="14"/>
        <v>5856</v>
      </c>
      <c r="AB51" s="78">
        <f t="shared" si="15"/>
        <v>25736</v>
      </c>
      <c r="AC51" s="78">
        <f t="shared" si="16"/>
        <v>32901</v>
      </c>
      <c r="AD51" s="78">
        <f t="shared" si="17"/>
        <v>0</v>
      </c>
      <c r="AE51" s="78">
        <f t="shared" si="18"/>
        <v>2636</v>
      </c>
      <c r="AF51" s="78">
        <f t="shared" si="19"/>
        <v>-15047</v>
      </c>
      <c r="AG51" s="78">
        <f t="shared" si="20"/>
        <v>-3129</v>
      </c>
      <c r="AH51" s="78">
        <f t="shared" si="21"/>
        <v>1819</v>
      </c>
      <c r="AI51" s="78">
        <f t="shared" si="22"/>
        <v>-938</v>
      </c>
      <c r="AJ51" s="78">
        <f t="shared" si="23"/>
        <v>174115</v>
      </c>
      <c r="AK51" s="78">
        <f t="shared" si="24"/>
        <v>-242906</v>
      </c>
      <c r="AL51" s="78">
        <f t="shared" si="25"/>
        <v>243063</v>
      </c>
      <c r="AM51" s="78">
        <f t="shared" si="26"/>
        <v>0</v>
      </c>
      <c r="AN51" s="78"/>
      <c r="AO51" s="78">
        <f t="shared" si="33"/>
        <v>-20242.166666666668</v>
      </c>
      <c r="AP51" s="78">
        <f t="shared" si="33"/>
        <v>20255.25</v>
      </c>
      <c r="AQ51" s="82">
        <f t="shared" si="34"/>
        <v>13.083333333332121</v>
      </c>
      <c r="AR51" s="82">
        <f t="shared" si="27"/>
        <v>1.2132517213103711E-12</v>
      </c>
      <c r="AT51" s="82"/>
      <c r="AU51" s="82"/>
      <c r="AV51" s="82"/>
      <c r="AW51" s="82"/>
      <c r="AX51" s="82"/>
    </row>
    <row r="52" spans="2:50" x14ac:dyDescent="0.75">
      <c r="B52" s="130" t="s">
        <v>34</v>
      </c>
      <c r="C52" s="141">
        <v>71945.899999999994</v>
      </c>
      <c r="D52" s="141">
        <v>124194.45</v>
      </c>
      <c r="E52" s="141">
        <v>176443</v>
      </c>
      <c r="F52" s="141">
        <v>177229</v>
      </c>
      <c r="G52" s="141">
        <v>178032</v>
      </c>
      <c r="H52" s="141">
        <v>178463</v>
      </c>
      <c r="I52" s="141">
        <v>177262</v>
      </c>
      <c r="J52" s="141">
        <v>174273</v>
      </c>
      <c r="K52" s="141">
        <v>169262</v>
      </c>
      <c r="L52" s="141">
        <v>166111</v>
      </c>
      <c r="M52" s="141">
        <v>170801</v>
      </c>
      <c r="N52" s="141">
        <v>169656</v>
      </c>
      <c r="O52" s="152">
        <v>129465</v>
      </c>
      <c r="P52" s="123">
        <f>SUM(C52:O52)</f>
        <v>2063137.35</v>
      </c>
      <c r="Q52" s="92">
        <f t="shared" si="29"/>
        <v>9267.2583333333332</v>
      </c>
      <c r="R52" s="79">
        <f t="shared" si="30"/>
        <v>4474</v>
      </c>
      <c r="S52" s="93">
        <f t="shared" si="31"/>
        <v>4793.2583333333332</v>
      </c>
      <c r="T52" s="86">
        <f t="shared" si="32"/>
        <v>57519.1</v>
      </c>
      <c r="U52" s="83">
        <f t="shared" si="10"/>
        <v>79.947710710408799</v>
      </c>
      <c r="V52" s="101"/>
      <c r="W52" s="98">
        <f t="shared" si="11"/>
        <v>1.1855416074522103</v>
      </c>
      <c r="X52" s="98"/>
      <c r="Y52" s="78">
        <f t="shared" si="12"/>
        <v>52248.55</v>
      </c>
      <c r="Z52" s="78">
        <f t="shared" si="13"/>
        <v>52248.55</v>
      </c>
      <c r="AA52" s="78">
        <f t="shared" si="14"/>
        <v>786</v>
      </c>
      <c r="AB52" s="78">
        <f t="shared" si="15"/>
        <v>803</v>
      </c>
      <c r="AC52" s="78">
        <f t="shared" si="16"/>
        <v>431</v>
      </c>
      <c r="AD52" s="78">
        <f t="shared" si="17"/>
        <v>-1201</v>
      </c>
      <c r="AE52" s="78">
        <f t="shared" si="18"/>
        <v>-2989</v>
      </c>
      <c r="AF52" s="78">
        <f t="shared" si="19"/>
        <v>-5011</v>
      </c>
      <c r="AG52" s="78">
        <f t="shared" si="20"/>
        <v>-3151</v>
      </c>
      <c r="AH52" s="78">
        <f t="shared" si="21"/>
        <v>4690</v>
      </c>
      <c r="AI52" s="78">
        <f t="shared" si="22"/>
        <v>-1145</v>
      </c>
      <c r="AJ52" s="78">
        <f t="shared" si="23"/>
        <v>-40191</v>
      </c>
      <c r="AK52" s="78">
        <f t="shared" si="24"/>
        <v>-53688</v>
      </c>
      <c r="AL52" s="78">
        <f t="shared" si="25"/>
        <v>111207.1</v>
      </c>
      <c r="AM52" s="78">
        <f t="shared" si="26"/>
        <v>0</v>
      </c>
      <c r="AN52" s="78"/>
      <c r="AO52" s="78">
        <f t="shared" si="33"/>
        <v>-4474</v>
      </c>
      <c r="AP52" s="78">
        <f t="shared" si="33"/>
        <v>9267.2583333333332</v>
      </c>
      <c r="AQ52" s="82">
        <f t="shared" si="34"/>
        <v>4793.2583333333332</v>
      </c>
      <c r="AR52" s="82">
        <f t="shared" si="27"/>
        <v>0</v>
      </c>
      <c r="AT52" s="82"/>
      <c r="AU52" s="82"/>
      <c r="AV52" s="82"/>
      <c r="AW52" s="82"/>
      <c r="AX52" s="82"/>
    </row>
    <row r="53" spans="2:50" x14ac:dyDescent="0.75">
      <c r="B53" s="130" t="s">
        <v>66</v>
      </c>
      <c r="C53" s="143">
        <v>0</v>
      </c>
      <c r="D53" s="141">
        <v>0</v>
      </c>
      <c r="E53" s="141">
        <v>0</v>
      </c>
      <c r="F53" s="141">
        <v>101.02200000000001</v>
      </c>
      <c r="G53" s="141">
        <v>101.02200000000001</v>
      </c>
      <c r="H53" s="141">
        <v>101.02200000000001</v>
      </c>
      <c r="I53" s="141">
        <v>1533.15</v>
      </c>
      <c r="J53" s="141">
        <v>16535</v>
      </c>
      <c r="K53" s="141">
        <v>19885</v>
      </c>
      <c r="L53" s="141">
        <v>27397.200000000001</v>
      </c>
      <c r="M53" s="141">
        <v>53856.800000000003</v>
      </c>
      <c r="N53" s="141">
        <v>80231.399999999994</v>
      </c>
      <c r="O53" s="152">
        <v>94358.6</v>
      </c>
      <c r="P53" s="123">
        <f t="shared" si="28"/>
        <v>294100.21600000001</v>
      </c>
      <c r="Q53" s="92">
        <f t="shared" si="29"/>
        <v>7863.2166666666672</v>
      </c>
      <c r="R53" s="79">
        <f t="shared" si="30"/>
        <v>0</v>
      </c>
      <c r="S53" s="93">
        <f t="shared" si="31"/>
        <v>7863.2166666666672</v>
      </c>
      <c r="T53" s="86">
        <f t="shared" si="32"/>
        <v>94358.6</v>
      </c>
      <c r="U53" s="94" t="e">
        <f t="shared" si="10"/>
        <v>#DIV/0!</v>
      </c>
      <c r="V53" s="101"/>
      <c r="W53" s="98">
        <f t="shared" si="11"/>
        <v>1.9448504291781359</v>
      </c>
      <c r="X53" s="98"/>
      <c r="Y53" s="78">
        <f t="shared" si="12"/>
        <v>0</v>
      </c>
      <c r="Z53" s="78">
        <f t="shared" si="13"/>
        <v>0</v>
      </c>
      <c r="AA53" s="78">
        <f t="shared" si="14"/>
        <v>101.02200000000001</v>
      </c>
      <c r="AB53" s="78">
        <f t="shared" si="15"/>
        <v>0</v>
      </c>
      <c r="AC53" s="78">
        <f t="shared" si="16"/>
        <v>0</v>
      </c>
      <c r="AD53" s="78">
        <f t="shared" si="17"/>
        <v>1432.1280000000002</v>
      </c>
      <c r="AE53" s="78">
        <f t="shared" si="18"/>
        <v>15001.85</v>
      </c>
      <c r="AF53" s="78">
        <f t="shared" si="19"/>
        <v>3350</v>
      </c>
      <c r="AG53" s="78">
        <f t="shared" si="20"/>
        <v>7512.2000000000007</v>
      </c>
      <c r="AH53" s="78">
        <f t="shared" si="21"/>
        <v>26459.600000000002</v>
      </c>
      <c r="AI53" s="78">
        <f t="shared" si="22"/>
        <v>26374.599999999991</v>
      </c>
      <c r="AJ53" s="78">
        <f t="shared" si="23"/>
        <v>14127.200000000012</v>
      </c>
      <c r="AK53" s="78">
        <f t="shared" si="24"/>
        <v>0</v>
      </c>
      <c r="AL53" s="78">
        <f t="shared" si="25"/>
        <v>94358.6</v>
      </c>
      <c r="AM53" s="78">
        <f t="shared" si="26"/>
        <v>0</v>
      </c>
      <c r="AN53" s="78"/>
      <c r="AO53" s="78">
        <f t="shared" si="33"/>
        <v>0</v>
      </c>
      <c r="AP53" s="78">
        <f t="shared" si="33"/>
        <v>7863.2166666666672</v>
      </c>
      <c r="AQ53" s="82">
        <f t="shared" si="34"/>
        <v>7863.2166666666672</v>
      </c>
      <c r="AR53" s="82">
        <f t="shared" si="27"/>
        <v>0</v>
      </c>
      <c r="AT53" s="82"/>
      <c r="AU53" s="82"/>
      <c r="AV53" s="82"/>
      <c r="AW53" s="82"/>
      <c r="AX53" s="82"/>
    </row>
    <row r="54" spans="2:50" x14ac:dyDescent="0.75">
      <c r="B54" s="130" t="s">
        <v>36</v>
      </c>
      <c r="C54" s="141">
        <v>3159.73</v>
      </c>
      <c r="D54" s="141">
        <v>3365.5749999999998</v>
      </c>
      <c r="E54" s="141">
        <v>3571.42</v>
      </c>
      <c r="F54" s="141">
        <v>3667.19</v>
      </c>
      <c r="G54" s="141">
        <v>3890.97</v>
      </c>
      <c r="H54" s="141">
        <v>3890.97</v>
      </c>
      <c r="I54" s="141">
        <v>3890.97</v>
      </c>
      <c r="J54" s="141">
        <v>3916.67</v>
      </c>
      <c r="K54" s="141">
        <v>3653.09</v>
      </c>
      <c r="L54" s="141">
        <v>3878.1</v>
      </c>
      <c r="M54" s="141">
        <v>3480.02</v>
      </c>
      <c r="N54" s="141">
        <v>7216.4</v>
      </c>
      <c r="O54" s="152">
        <v>7089.96</v>
      </c>
      <c r="P54" s="123">
        <f t="shared" si="28"/>
        <v>54671.065000000002</v>
      </c>
      <c r="Q54" s="92">
        <f t="shared" si="29"/>
        <v>393.19416666666666</v>
      </c>
      <c r="R54" s="79">
        <f t="shared" si="30"/>
        <v>65.674999999999955</v>
      </c>
      <c r="S54" s="93">
        <f t="shared" si="31"/>
        <v>327.51916666666671</v>
      </c>
      <c r="T54" s="86">
        <f t="shared" si="32"/>
        <v>3930.2300000000005</v>
      </c>
      <c r="U54" s="83">
        <f t="shared" si="10"/>
        <v>124.38499492045209</v>
      </c>
      <c r="V54" s="101"/>
      <c r="W54" s="98">
        <f t="shared" si="11"/>
        <v>8.100702535082957E-2</v>
      </c>
      <c r="X54" s="98"/>
      <c r="Y54" s="78">
        <f t="shared" si="12"/>
        <v>205.8449999999998</v>
      </c>
      <c r="Z54" s="78">
        <f t="shared" si="13"/>
        <v>205.84500000000025</v>
      </c>
      <c r="AA54" s="78">
        <f t="shared" si="14"/>
        <v>95.769999999999982</v>
      </c>
      <c r="AB54" s="78">
        <f t="shared" si="15"/>
        <v>223.77999999999975</v>
      </c>
      <c r="AC54" s="78">
        <f t="shared" si="16"/>
        <v>0</v>
      </c>
      <c r="AD54" s="78">
        <f t="shared" si="17"/>
        <v>0</v>
      </c>
      <c r="AE54" s="78">
        <f t="shared" si="18"/>
        <v>25.700000000000273</v>
      </c>
      <c r="AF54" s="78">
        <f t="shared" si="19"/>
        <v>-263.57999999999993</v>
      </c>
      <c r="AG54" s="78">
        <f t="shared" si="20"/>
        <v>225.00999999999976</v>
      </c>
      <c r="AH54" s="78">
        <f t="shared" si="21"/>
        <v>-398.07999999999993</v>
      </c>
      <c r="AI54" s="78">
        <f t="shared" si="22"/>
        <v>3736.3799999999997</v>
      </c>
      <c r="AJ54" s="78">
        <f t="shared" si="23"/>
        <v>-126.4399999999996</v>
      </c>
      <c r="AK54" s="78">
        <f t="shared" si="24"/>
        <v>-788.09999999999945</v>
      </c>
      <c r="AL54" s="78">
        <f t="shared" si="25"/>
        <v>4718.33</v>
      </c>
      <c r="AM54" s="78">
        <f t="shared" si="26"/>
        <v>0</v>
      </c>
      <c r="AN54" s="78"/>
      <c r="AO54" s="78">
        <f t="shared" si="33"/>
        <v>-65.674999999999955</v>
      </c>
      <c r="AP54" s="78">
        <f t="shared" si="33"/>
        <v>393.19416666666666</v>
      </c>
      <c r="AQ54" s="82">
        <f t="shared" si="34"/>
        <v>327.51916666666671</v>
      </c>
      <c r="AR54" s="82">
        <f t="shared" si="27"/>
        <v>0</v>
      </c>
      <c r="AT54" s="82"/>
      <c r="AU54" s="82"/>
      <c r="AV54" s="82"/>
      <c r="AW54" s="82"/>
      <c r="AX54" s="82"/>
    </row>
    <row r="55" spans="2:50" x14ac:dyDescent="0.75">
      <c r="B55" s="130" t="s">
        <v>38</v>
      </c>
      <c r="C55" s="141">
        <v>81713.600000000006</v>
      </c>
      <c r="D55" s="141">
        <v>51759.350000000006</v>
      </c>
      <c r="E55" s="141">
        <v>21805.1</v>
      </c>
      <c r="F55" s="141">
        <v>21805.1</v>
      </c>
      <c r="G55" s="141">
        <v>21853.200000000001</v>
      </c>
      <c r="H55" s="141">
        <v>21853.200000000001</v>
      </c>
      <c r="I55" s="141">
        <v>21912.9</v>
      </c>
      <c r="J55" s="141">
        <v>23500.799999999999</v>
      </c>
      <c r="K55" s="141">
        <v>263859</v>
      </c>
      <c r="L55" s="141">
        <v>75080.7</v>
      </c>
      <c r="M55" s="141">
        <v>56539</v>
      </c>
      <c r="N55" s="141">
        <v>77994.3</v>
      </c>
      <c r="O55" s="152">
        <v>88946.1</v>
      </c>
      <c r="P55" s="123">
        <f t="shared" si="28"/>
        <v>828622.35</v>
      </c>
      <c r="Q55" s="92">
        <f t="shared" si="29"/>
        <v>22871.75</v>
      </c>
      <c r="R55" s="79">
        <f t="shared" si="30"/>
        <v>22269.041666666668</v>
      </c>
      <c r="S55" s="93">
        <f t="shared" si="31"/>
        <v>602.70833333333212</v>
      </c>
      <c r="T55" s="86">
        <f t="shared" si="32"/>
        <v>7232.4999999999854</v>
      </c>
      <c r="U55" s="83">
        <f t="shared" si="10"/>
        <v>8.8510358128879218</v>
      </c>
      <c r="V55" s="101"/>
      <c r="W55" s="98">
        <f t="shared" si="11"/>
        <v>0.1490709986056474</v>
      </c>
      <c r="X55" s="98"/>
      <c r="Y55" s="78">
        <f t="shared" si="12"/>
        <v>-29954.25</v>
      </c>
      <c r="Z55" s="78">
        <f t="shared" si="13"/>
        <v>-29954.250000000007</v>
      </c>
      <c r="AA55" s="78">
        <f t="shared" si="14"/>
        <v>0</v>
      </c>
      <c r="AB55" s="78">
        <f t="shared" si="15"/>
        <v>48.100000000002183</v>
      </c>
      <c r="AC55" s="78">
        <f t="shared" si="16"/>
        <v>0</v>
      </c>
      <c r="AD55" s="78">
        <f t="shared" si="17"/>
        <v>59.700000000000728</v>
      </c>
      <c r="AE55" s="78">
        <f t="shared" si="18"/>
        <v>1587.8999999999978</v>
      </c>
      <c r="AF55" s="78">
        <f t="shared" si="19"/>
        <v>240358.2</v>
      </c>
      <c r="AG55" s="78">
        <f t="shared" si="20"/>
        <v>-188778.3</v>
      </c>
      <c r="AH55" s="78">
        <f t="shared" si="21"/>
        <v>-18541.699999999997</v>
      </c>
      <c r="AI55" s="78">
        <f t="shared" si="22"/>
        <v>21455.300000000003</v>
      </c>
      <c r="AJ55" s="78">
        <f t="shared" si="23"/>
        <v>10951.800000000003</v>
      </c>
      <c r="AK55" s="78">
        <f t="shared" si="24"/>
        <v>-267228.5</v>
      </c>
      <c r="AL55" s="78">
        <f t="shared" si="25"/>
        <v>274461</v>
      </c>
      <c r="AM55" s="78">
        <f t="shared" si="26"/>
        <v>0</v>
      </c>
      <c r="AN55" s="78"/>
      <c r="AO55" s="78">
        <f t="shared" si="33"/>
        <v>-22269.041666666668</v>
      </c>
      <c r="AP55" s="78">
        <f t="shared" si="33"/>
        <v>22871.75</v>
      </c>
      <c r="AQ55" s="82">
        <f t="shared" si="34"/>
        <v>602.70833333333212</v>
      </c>
      <c r="AR55" s="82">
        <f t="shared" si="27"/>
        <v>1.2505552149377763E-12</v>
      </c>
      <c r="AT55" s="82"/>
      <c r="AU55" s="82"/>
      <c r="AV55" s="82"/>
      <c r="AW55" s="82"/>
      <c r="AX55" s="82"/>
    </row>
    <row r="56" spans="2:50" x14ac:dyDescent="0.75">
      <c r="B56" s="130" t="s">
        <v>40</v>
      </c>
      <c r="C56" s="141">
        <v>763.64700000000005</v>
      </c>
      <c r="D56" s="141">
        <v>763.64700000000005</v>
      </c>
      <c r="E56" s="141">
        <v>763.64700000000005</v>
      </c>
      <c r="F56" s="141">
        <v>763.64700000000005</v>
      </c>
      <c r="G56" s="141">
        <v>763.64700000000005</v>
      </c>
      <c r="H56" s="141">
        <v>763.64700000000005</v>
      </c>
      <c r="I56" s="141">
        <v>763.64700000000005</v>
      </c>
      <c r="J56" s="141">
        <v>0</v>
      </c>
      <c r="K56" s="141">
        <v>0</v>
      </c>
      <c r="L56" s="141">
        <v>0</v>
      </c>
      <c r="M56" s="141">
        <v>0</v>
      </c>
      <c r="N56" s="141">
        <v>0</v>
      </c>
      <c r="O56" s="152">
        <v>0</v>
      </c>
      <c r="P56" s="123">
        <f>SUM(C56:O56)</f>
        <v>5345.5290000000005</v>
      </c>
      <c r="Q56" s="92">
        <f t="shared" si="29"/>
        <v>0</v>
      </c>
      <c r="R56" s="79">
        <f t="shared" si="30"/>
        <v>63.637250000000002</v>
      </c>
      <c r="S56" s="93">
        <f t="shared" si="31"/>
        <v>-63.637250000000002</v>
      </c>
      <c r="T56" s="86">
        <f t="shared" si="32"/>
        <v>-763.64700000000005</v>
      </c>
      <c r="U56" s="83">
        <f t="shared" si="10"/>
        <v>-100.00000000000001</v>
      </c>
      <c r="V56" s="101"/>
      <c r="W56" s="98">
        <f t="shared" si="11"/>
        <v>-1.5739733269575812E-2</v>
      </c>
      <c r="X56" s="98"/>
      <c r="Y56" s="78">
        <f t="shared" si="12"/>
        <v>0</v>
      </c>
      <c r="Z56" s="78">
        <f t="shared" si="13"/>
        <v>0</v>
      </c>
      <c r="AA56" s="78">
        <f t="shared" si="14"/>
        <v>0</v>
      </c>
      <c r="AB56" s="78">
        <f t="shared" si="15"/>
        <v>0</v>
      </c>
      <c r="AC56" s="78">
        <f t="shared" si="16"/>
        <v>0</v>
      </c>
      <c r="AD56" s="78">
        <f t="shared" si="17"/>
        <v>0</v>
      </c>
      <c r="AE56" s="78">
        <f t="shared" si="18"/>
        <v>-763.64700000000005</v>
      </c>
      <c r="AF56" s="78">
        <f t="shared" si="19"/>
        <v>0</v>
      </c>
      <c r="AG56" s="78">
        <f t="shared" si="20"/>
        <v>0</v>
      </c>
      <c r="AH56" s="78">
        <f t="shared" si="21"/>
        <v>0</v>
      </c>
      <c r="AI56" s="78">
        <f t="shared" si="22"/>
        <v>0</v>
      </c>
      <c r="AJ56" s="78">
        <f t="shared" si="23"/>
        <v>0</v>
      </c>
      <c r="AK56" s="78">
        <f t="shared" si="24"/>
        <v>-763.64700000000005</v>
      </c>
      <c r="AL56" s="78">
        <f t="shared" si="25"/>
        <v>0</v>
      </c>
      <c r="AM56" s="78">
        <f t="shared" si="26"/>
        <v>0</v>
      </c>
      <c r="AN56" s="78"/>
      <c r="AO56" s="78">
        <f t="shared" si="33"/>
        <v>-63.637250000000002</v>
      </c>
      <c r="AP56" s="78">
        <f t="shared" si="33"/>
        <v>0</v>
      </c>
      <c r="AQ56" s="82">
        <f t="shared" si="34"/>
        <v>-63.637250000000002</v>
      </c>
      <c r="AR56" s="82">
        <f t="shared" si="27"/>
        <v>0</v>
      </c>
      <c r="AT56" s="82"/>
      <c r="AU56" s="82"/>
      <c r="AV56" s="82"/>
      <c r="AW56" s="82"/>
      <c r="AX56" s="82"/>
    </row>
    <row r="57" spans="2:50" x14ac:dyDescent="0.75">
      <c r="B57" s="130" t="s">
        <v>42</v>
      </c>
      <c r="C57" s="141">
        <v>471693</v>
      </c>
      <c r="D57" s="141">
        <v>549086.5</v>
      </c>
      <c r="E57" s="141">
        <v>626480</v>
      </c>
      <c r="F57" s="141">
        <v>646258</v>
      </c>
      <c r="G57" s="141">
        <v>655175</v>
      </c>
      <c r="H57" s="141">
        <v>704034</v>
      </c>
      <c r="I57" s="141">
        <v>704044</v>
      </c>
      <c r="J57" s="141">
        <v>708703</v>
      </c>
      <c r="K57" s="141">
        <v>568723</v>
      </c>
      <c r="L57" s="141">
        <v>700156</v>
      </c>
      <c r="M57" s="141">
        <v>603422</v>
      </c>
      <c r="N57" s="141">
        <v>576528</v>
      </c>
      <c r="O57" s="152">
        <v>555274</v>
      </c>
      <c r="P57" s="123">
        <f t="shared" si="28"/>
        <v>8069576.5</v>
      </c>
      <c r="Q57" s="92">
        <f t="shared" si="29"/>
        <v>30703.583333333332</v>
      </c>
      <c r="R57" s="79">
        <f t="shared" si="30"/>
        <v>23738.5</v>
      </c>
      <c r="S57" s="93">
        <f t="shared" si="31"/>
        <v>6965.0833333333321</v>
      </c>
      <c r="T57" s="86">
        <f t="shared" si="32"/>
        <v>83580.999999999985</v>
      </c>
      <c r="U57" s="83">
        <f t="shared" si="10"/>
        <v>17.719364077906601</v>
      </c>
      <c r="V57" s="101"/>
      <c r="W57" s="98">
        <f t="shared" si="11"/>
        <v>1.7227104230153663</v>
      </c>
      <c r="X57" s="98"/>
      <c r="Y57" s="78">
        <f t="shared" si="12"/>
        <v>77393.5</v>
      </c>
      <c r="Z57" s="78">
        <f t="shared" si="13"/>
        <v>77393.5</v>
      </c>
      <c r="AA57" s="78">
        <f t="shared" si="14"/>
        <v>19778</v>
      </c>
      <c r="AB57" s="78">
        <f t="shared" si="15"/>
        <v>8917</v>
      </c>
      <c r="AC57" s="78">
        <f t="shared" si="16"/>
        <v>48859</v>
      </c>
      <c r="AD57" s="78">
        <f t="shared" si="17"/>
        <v>10</v>
      </c>
      <c r="AE57" s="78">
        <f t="shared" si="18"/>
        <v>4659</v>
      </c>
      <c r="AF57" s="78">
        <f t="shared" si="19"/>
        <v>-139980</v>
      </c>
      <c r="AG57" s="78">
        <f t="shared" si="20"/>
        <v>131433</v>
      </c>
      <c r="AH57" s="78">
        <f t="shared" si="21"/>
        <v>-96734</v>
      </c>
      <c r="AI57" s="78">
        <f t="shared" si="22"/>
        <v>-26894</v>
      </c>
      <c r="AJ57" s="78">
        <f t="shared" si="23"/>
        <v>-21254</v>
      </c>
      <c r="AK57" s="78">
        <f t="shared" si="24"/>
        <v>-284862</v>
      </c>
      <c r="AL57" s="78">
        <f t="shared" si="25"/>
        <v>368443</v>
      </c>
      <c r="AM57" s="78">
        <f t="shared" si="26"/>
        <v>0</v>
      </c>
      <c r="AN57" s="78"/>
      <c r="AO57" s="78">
        <f t="shared" si="33"/>
        <v>-23738.5</v>
      </c>
      <c r="AP57" s="78">
        <f t="shared" si="33"/>
        <v>30703.583333333332</v>
      </c>
      <c r="AQ57" s="82">
        <f t="shared" si="34"/>
        <v>6965.0833333333321</v>
      </c>
      <c r="AR57" s="82">
        <f t="shared" si="27"/>
        <v>0</v>
      </c>
      <c r="AT57" s="82"/>
      <c r="AU57" s="82"/>
      <c r="AV57" s="82"/>
      <c r="AW57" s="82"/>
      <c r="AX57" s="82"/>
    </row>
    <row r="58" spans="2:50" x14ac:dyDescent="0.75">
      <c r="B58" s="130" t="s">
        <v>44</v>
      </c>
      <c r="C58" s="141">
        <v>352031.11899999995</v>
      </c>
      <c r="D58" s="141">
        <v>352012.17400000058</v>
      </c>
      <c r="E58" s="141">
        <v>351993.22899999935</v>
      </c>
      <c r="F58" s="141">
        <v>351992.03699999955</v>
      </c>
      <c r="G58" s="141">
        <v>351994.55700000003</v>
      </c>
      <c r="H58" s="141">
        <v>351993.95699999947</v>
      </c>
      <c r="I58" s="141">
        <v>351993.82899999991</v>
      </c>
      <c r="J58" s="141">
        <v>322264.42600000091</v>
      </c>
      <c r="K58" s="141">
        <v>322282.10600000061</v>
      </c>
      <c r="L58" s="141">
        <v>351749.49600000028</v>
      </c>
      <c r="M58" s="141">
        <v>351734.07599999942</v>
      </c>
      <c r="N58" s="141">
        <v>349815.73299999943</v>
      </c>
      <c r="O58" s="152">
        <v>349883.96779999975</v>
      </c>
      <c r="P58" s="123">
        <f t="shared" si="28"/>
        <v>4511740.7067999989</v>
      </c>
      <c r="Q58" s="92">
        <f t="shared" si="29"/>
        <v>2462.9854000000146</v>
      </c>
      <c r="R58" s="79">
        <f t="shared" si="30"/>
        <v>2641.9146666666979</v>
      </c>
      <c r="S58" s="93">
        <f t="shared" si="31"/>
        <v>-178.92926666668336</v>
      </c>
      <c r="T58" s="86">
        <f t="shared" si="32"/>
        <v>-2147.1512000002003</v>
      </c>
      <c r="U58" s="83">
        <f t="shared" si="10"/>
        <v>-0.60993221454385127</v>
      </c>
      <c r="V58" s="101"/>
      <c r="W58" s="98">
        <f t="shared" si="11"/>
        <v>-4.42555096496847E-2</v>
      </c>
      <c r="X58" s="98"/>
      <c r="Y58" s="78">
        <f t="shared" si="12"/>
        <v>-18.944999999366701</v>
      </c>
      <c r="Z58" s="78">
        <f t="shared" si="13"/>
        <v>-18.945000001229346</v>
      </c>
      <c r="AA58" s="78">
        <f t="shared" si="14"/>
        <v>-1.1919999998062849</v>
      </c>
      <c r="AB58" s="78">
        <f t="shared" si="15"/>
        <v>2.5200000004842877</v>
      </c>
      <c r="AC58" s="78">
        <f t="shared" si="16"/>
        <v>-0.60000000055879354</v>
      </c>
      <c r="AD58" s="78">
        <f t="shared" si="17"/>
        <v>-0.12799999956041574</v>
      </c>
      <c r="AE58" s="78">
        <f t="shared" si="18"/>
        <v>-29729.402999999002</v>
      </c>
      <c r="AF58" s="78">
        <f t="shared" si="19"/>
        <v>17.679999999701977</v>
      </c>
      <c r="AG58" s="78">
        <f t="shared" si="20"/>
        <v>29467.389999999665</v>
      </c>
      <c r="AH58" s="78">
        <f t="shared" si="21"/>
        <v>-15.420000000856817</v>
      </c>
      <c r="AI58" s="78">
        <f t="shared" si="22"/>
        <v>-1918.3429999999935</v>
      </c>
      <c r="AJ58" s="78">
        <f t="shared" si="23"/>
        <v>68.234800000325777</v>
      </c>
      <c r="AK58" s="78">
        <f t="shared" si="24"/>
        <v>-31702.976000000373</v>
      </c>
      <c r="AL58" s="78">
        <f t="shared" si="25"/>
        <v>29555.824800000177</v>
      </c>
      <c r="AM58" s="78">
        <f t="shared" si="26"/>
        <v>0</v>
      </c>
      <c r="AN58" s="78"/>
      <c r="AO58" s="78">
        <f t="shared" si="33"/>
        <v>-2641.9146666666979</v>
      </c>
      <c r="AP58" s="78">
        <f t="shared" si="33"/>
        <v>2462.9854000000146</v>
      </c>
      <c r="AQ58" s="82">
        <f t="shared" si="34"/>
        <v>-178.92926666668336</v>
      </c>
      <c r="AR58" s="82">
        <f t="shared" si="27"/>
        <v>3.1263880373444408E-13</v>
      </c>
      <c r="AT58" s="82"/>
      <c r="AU58" s="82"/>
      <c r="AV58" s="82"/>
      <c r="AW58" s="82"/>
      <c r="AX58" s="82"/>
    </row>
    <row r="59" spans="2:50" x14ac:dyDescent="0.75">
      <c r="B59" s="130" t="s">
        <v>50</v>
      </c>
      <c r="C59" s="142">
        <v>930069</v>
      </c>
      <c r="D59" s="142">
        <v>931437.5</v>
      </c>
      <c r="E59" s="142">
        <v>932806</v>
      </c>
      <c r="F59" s="142">
        <v>929360</v>
      </c>
      <c r="G59" s="142">
        <v>949786</v>
      </c>
      <c r="H59" s="142">
        <v>900908</v>
      </c>
      <c r="I59" s="142">
        <v>900838</v>
      </c>
      <c r="J59" s="142">
        <v>906111</v>
      </c>
      <c r="K59" s="142">
        <v>860813</v>
      </c>
      <c r="L59" s="142">
        <v>917482</v>
      </c>
      <c r="M59" s="142">
        <v>969770</v>
      </c>
      <c r="N59" s="142">
        <v>978818</v>
      </c>
      <c r="O59" s="153">
        <v>942998</v>
      </c>
      <c r="P59" s="123">
        <f t="shared" si="28"/>
        <v>12051196.5</v>
      </c>
      <c r="Q59" s="92">
        <f t="shared" si="29"/>
        <v>12203.416666666666</v>
      </c>
      <c r="R59" s="79">
        <f t="shared" si="30"/>
        <v>11126</v>
      </c>
      <c r="S59" s="93">
        <f t="shared" si="31"/>
        <v>1077.4166666666661</v>
      </c>
      <c r="T59" s="86">
        <f t="shared" si="32"/>
        <v>12928.999999999993</v>
      </c>
      <c r="U59" s="83">
        <f t="shared" si="10"/>
        <v>1.3901119164277052</v>
      </c>
      <c r="V59" s="101"/>
      <c r="W59" s="98">
        <f t="shared" si="11"/>
        <v>0.2664830889695704</v>
      </c>
      <c r="X59" s="98"/>
      <c r="Y59" s="78">
        <f t="shared" si="12"/>
        <v>1368.5</v>
      </c>
      <c r="Z59" s="78">
        <f t="shared" si="13"/>
        <v>1368.5</v>
      </c>
      <c r="AA59" s="78">
        <f t="shared" si="14"/>
        <v>-3446</v>
      </c>
      <c r="AB59" s="78">
        <f t="shared" si="15"/>
        <v>20426</v>
      </c>
      <c r="AC59" s="78">
        <f t="shared" si="16"/>
        <v>-48878</v>
      </c>
      <c r="AD59" s="78">
        <f t="shared" si="17"/>
        <v>-70</v>
      </c>
      <c r="AE59" s="78">
        <f t="shared" si="18"/>
        <v>5273</v>
      </c>
      <c r="AF59" s="78">
        <f t="shared" si="19"/>
        <v>-45298</v>
      </c>
      <c r="AG59" s="78">
        <f t="shared" si="20"/>
        <v>56669</v>
      </c>
      <c r="AH59" s="78">
        <f t="shared" si="21"/>
        <v>52288</v>
      </c>
      <c r="AI59" s="78">
        <f t="shared" si="22"/>
        <v>9048</v>
      </c>
      <c r="AJ59" s="78">
        <f t="shared" si="23"/>
        <v>-35820</v>
      </c>
      <c r="AK59" s="78">
        <f t="shared" si="24"/>
        <v>-133512</v>
      </c>
      <c r="AL59" s="78">
        <f t="shared" si="25"/>
        <v>146441</v>
      </c>
      <c r="AM59" s="78">
        <f t="shared" si="26"/>
        <v>0</v>
      </c>
      <c r="AN59" s="78"/>
      <c r="AO59" s="78">
        <f t="shared" si="33"/>
        <v>-11126</v>
      </c>
      <c r="AP59" s="78">
        <f t="shared" si="33"/>
        <v>12203.416666666666</v>
      </c>
      <c r="AQ59" s="82">
        <f t="shared" si="34"/>
        <v>1077.4166666666661</v>
      </c>
      <c r="AR59" s="82">
        <f t="shared" si="27"/>
        <v>0</v>
      </c>
      <c r="AT59" s="82"/>
      <c r="AU59" s="82"/>
      <c r="AV59" s="82"/>
      <c r="AW59" s="82"/>
      <c r="AX59" s="82"/>
    </row>
    <row r="60" spans="2:50" x14ac:dyDescent="0.75">
      <c r="B60" s="130" t="s">
        <v>52</v>
      </c>
      <c r="C60" s="142">
        <v>14377</v>
      </c>
      <c r="D60" s="142">
        <v>15367.6</v>
      </c>
      <c r="E60" s="142">
        <v>16358.2</v>
      </c>
      <c r="F60" s="142">
        <v>16721.900000000001</v>
      </c>
      <c r="G60" s="142">
        <v>16803.3</v>
      </c>
      <c r="H60" s="142">
        <v>16880.2</v>
      </c>
      <c r="I60" s="142">
        <v>16880.2</v>
      </c>
      <c r="J60" s="142">
        <v>17184</v>
      </c>
      <c r="K60" s="142">
        <v>16395.8</v>
      </c>
      <c r="L60" s="142">
        <v>17071.599999999999</v>
      </c>
      <c r="M60" s="142">
        <v>16376.6</v>
      </c>
      <c r="N60" s="142">
        <v>18278.400000000001</v>
      </c>
      <c r="O60" s="153">
        <v>21670.799999999999</v>
      </c>
      <c r="P60" s="123">
        <f t="shared" si="28"/>
        <v>220365.59999999998</v>
      </c>
      <c r="Q60" s="92">
        <f t="shared" si="29"/>
        <v>731.41666666666652</v>
      </c>
      <c r="R60" s="79">
        <f t="shared" si="30"/>
        <v>123.59999999999991</v>
      </c>
      <c r="S60" s="93">
        <f t="shared" si="31"/>
        <v>607.81666666666661</v>
      </c>
      <c r="T60" s="86">
        <f t="shared" si="32"/>
        <v>7293.7999999999993</v>
      </c>
      <c r="U60" s="83">
        <f t="shared" si="10"/>
        <v>50.73241983724003</v>
      </c>
      <c r="V60" s="101"/>
      <c r="W60" s="98">
        <f t="shared" si="11"/>
        <v>0.15033446935774256</v>
      </c>
      <c r="X60" s="98"/>
      <c r="Y60" s="78">
        <f t="shared" si="12"/>
        <v>990.60000000000036</v>
      </c>
      <c r="Z60" s="78">
        <f t="shared" si="13"/>
        <v>990.60000000000036</v>
      </c>
      <c r="AA60" s="78">
        <f t="shared" si="14"/>
        <v>363.70000000000073</v>
      </c>
      <c r="AB60" s="78">
        <f t="shared" si="15"/>
        <v>81.399999999997817</v>
      </c>
      <c r="AC60" s="78">
        <f t="shared" si="16"/>
        <v>76.900000000001455</v>
      </c>
      <c r="AD60" s="78">
        <f t="shared" si="17"/>
        <v>0</v>
      </c>
      <c r="AE60" s="78">
        <f t="shared" si="18"/>
        <v>303.79999999999927</v>
      </c>
      <c r="AF60" s="78">
        <f t="shared" si="19"/>
        <v>-788.20000000000073</v>
      </c>
      <c r="AG60" s="78">
        <f t="shared" si="20"/>
        <v>675.79999999999927</v>
      </c>
      <c r="AH60" s="78">
        <f t="shared" si="21"/>
        <v>-694.99999999999818</v>
      </c>
      <c r="AI60" s="78">
        <f t="shared" si="22"/>
        <v>1901.8000000000011</v>
      </c>
      <c r="AJ60" s="78">
        <f t="shared" si="23"/>
        <v>3392.3999999999978</v>
      </c>
      <c r="AK60" s="78">
        <f t="shared" si="24"/>
        <v>-1483.1999999999989</v>
      </c>
      <c r="AL60" s="78">
        <f t="shared" si="25"/>
        <v>8776.9999999999982</v>
      </c>
      <c r="AM60" s="78">
        <f t="shared" si="26"/>
        <v>0</v>
      </c>
      <c r="AN60" s="78"/>
      <c r="AO60" s="78">
        <f t="shared" si="33"/>
        <v>-123.59999999999991</v>
      </c>
      <c r="AP60" s="78">
        <f t="shared" si="33"/>
        <v>731.41666666666652</v>
      </c>
      <c r="AQ60" s="82">
        <f t="shared" si="34"/>
        <v>607.81666666666661</v>
      </c>
      <c r="AR60" s="82">
        <f t="shared" si="27"/>
        <v>0</v>
      </c>
      <c r="AT60" s="82"/>
      <c r="AU60" s="82"/>
      <c r="AV60" s="82"/>
      <c r="AW60" s="82"/>
      <c r="AX60" s="82"/>
    </row>
    <row r="61" spans="2:50" x14ac:dyDescent="0.75">
      <c r="B61" s="130" t="s">
        <v>54</v>
      </c>
      <c r="C61" s="142">
        <v>43462.3</v>
      </c>
      <c r="D61" s="142">
        <v>49012.800000000003</v>
      </c>
      <c r="E61" s="142">
        <v>54563.3</v>
      </c>
      <c r="F61" s="142">
        <v>54563.3</v>
      </c>
      <c r="G61" s="142">
        <v>65249.9</v>
      </c>
      <c r="H61" s="142">
        <v>65378.5</v>
      </c>
      <c r="I61" s="142">
        <v>65378.5</v>
      </c>
      <c r="J61" s="142">
        <v>65760.399999999994</v>
      </c>
      <c r="K61" s="142">
        <v>62139.3</v>
      </c>
      <c r="L61" s="142">
        <v>65070.9</v>
      </c>
      <c r="M61" s="142">
        <v>65343.8</v>
      </c>
      <c r="N61" s="142">
        <v>70691.7</v>
      </c>
      <c r="O61" s="153">
        <v>68599.7</v>
      </c>
      <c r="P61" s="123">
        <f t="shared" si="28"/>
        <v>795214.4</v>
      </c>
      <c r="Q61" s="92">
        <f t="shared" si="29"/>
        <v>2570.8749999999986</v>
      </c>
      <c r="R61" s="79">
        <f t="shared" si="30"/>
        <v>476.09166666666596</v>
      </c>
      <c r="S61" s="93">
        <f t="shared" si="31"/>
        <v>2094.7833333333328</v>
      </c>
      <c r="T61" s="86">
        <f t="shared" si="32"/>
        <v>25137.399999999994</v>
      </c>
      <c r="U61" s="83">
        <f t="shared" si="10"/>
        <v>57.837252055229463</v>
      </c>
      <c r="V61" s="101"/>
      <c r="W61" s="98">
        <f t="shared" si="11"/>
        <v>0.51811369793980055</v>
      </c>
      <c r="X61" s="98"/>
      <c r="Y61" s="78">
        <f t="shared" si="12"/>
        <v>5550.5</v>
      </c>
      <c r="Z61" s="78">
        <f t="shared" si="13"/>
        <v>5550.5</v>
      </c>
      <c r="AA61" s="78">
        <f t="shared" si="14"/>
        <v>0</v>
      </c>
      <c r="AB61" s="78">
        <f t="shared" si="15"/>
        <v>10686.599999999999</v>
      </c>
      <c r="AC61" s="78">
        <f t="shared" si="16"/>
        <v>128.59999999999854</v>
      </c>
      <c r="AD61" s="78">
        <f t="shared" si="17"/>
        <v>0</v>
      </c>
      <c r="AE61" s="78">
        <f t="shared" si="18"/>
        <v>381.89999999999418</v>
      </c>
      <c r="AF61" s="78">
        <f t="shared" si="19"/>
        <v>-3621.0999999999913</v>
      </c>
      <c r="AG61" s="78">
        <f t="shared" si="20"/>
        <v>2931.5999999999985</v>
      </c>
      <c r="AH61" s="78">
        <f t="shared" si="21"/>
        <v>272.90000000000146</v>
      </c>
      <c r="AI61" s="78">
        <f t="shared" si="22"/>
        <v>5347.8999999999942</v>
      </c>
      <c r="AJ61" s="78">
        <f t="shared" si="23"/>
        <v>-2092</v>
      </c>
      <c r="AK61" s="78">
        <f t="shared" si="24"/>
        <v>-5713.0999999999913</v>
      </c>
      <c r="AL61" s="78">
        <f t="shared" si="25"/>
        <v>30850.499999999985</v>
      </c>
      <c r="AM61" s="78">
        <f t="shared" si="26"/>
        <v>0</v>
      </c>
      <c r="AN61" s="78"/>
      <c r="AO61" s="78">
        <f t="shared" si="33"/>
        <v>-476.09166666666596</v>
      </c>
      <c r="AP61" s="78">
        <f t="shared" si="33"/>
        <v>2570.8749999999986</v>
      </c>
      <c r="AQ61" s="82">
        <f t="shared" si="34"/>
        <v>2094.7833333333328</v>
      </c>
      <c r="AR61" s="82">
        <f t="shared" si="27"/>
        <v>0</v>
      </c>
      <c r="AT61" s="82"/>
      <c r="AU61" s="82"/>
      <c r="AV61" s="82"/>
      <c r="AW61" s="82"/>
      <c r="AX61" s="82"/>
    </row>
    <row r="62" spans="2:50" x14ac:dyDescent="0.75">
      <c r="B62" s="130" t="s">
        <v>115</v>
      </c>
      <c r="C62" s="142">
        <v>10931.7</v>
      </c>
      <c r="D62" s="142">
        <v>10931.7</v>
      </c>
      <c r="E62" s="142">
        <v>10931.7</v>
      </c>
      <c r="F62" s="142">
        <v>10931.7</v>
      </c>
      <c r="G62" s="142">
        <v>10973.6</v>
      </c>
      <c r="H62" s="142">
        <v>10973.6</v>
      </c>
      <c r="I62" s="142">
        <v>11043.9</v>
      </c>
      <c r="J62" s="142">
        <v>11463.2</v>
      </c>
      <c r="K62" s="142">
        <v>11458.9</v>
      </c>
      <c r="L62" s="142">
        <v>11388.1</v>
      </c>
      <c r="M62" s="142">
        <v>11388.1</v>
      </c>
      <c r="N62" s="142">
        <v>48795.199999999997</v>
      </c>
      <c r="O62" s="153">
        <v>45504.6</v>
      </c>
      <c r="P62" s="123">
        <f>SUM(C62:O62)</f>
        <v>216716</v>
      </c>
      <c r="Q62" s="92">
        <f t="shared" si="29"/>
        <v>3161.5499999999997</v>
      </c>
      <c r="R62" s="79">
        <f t="shared" si="30"/>
        <v>280.47499999999991</v>
      </c>
      <c r="S62" s="93">
        <f t="shared" si="31"/>
        <v>2881.0749999999998</v>
      </c>
      <c r="T62" s="86">
        <f t="shared" si="32"/>
        <v>34572.899999999994</v>
      </c>
      <c r="U62" s="83">
        <f t="shared" si="10"/>
        <v>316.26279535662331</v>
      </c>
      <c r="V62" s="101"/>
      <c r="W62" s="98">
        <f t="shared" si="11"/>
        <v>0.71259132080099497</v>
      </c>
      <c r="X62" s="98"/>
      <c r="Y62" s="78">
        <f t="shared" si="12"/>
        <v>0</v>
      </c>
      <c r="Z62" s="78">
        <f t="shared" si="13"/>
        <v>0</v>
      </c>
      <c r="AA62" s="78">
        <f t="shared" si="14"/>
        <v>0</v>
      </c>
      <c r="AB62" s="78">
        <f t="shared" si="15"/>
        <v>41.899999999999636</v>
      </c>
      <c r="AC62" s="78">
        <f t="shared" si="16"/>
        <v>0</v>
      </c>
      <c r="AD62" s="78">
        <f t="shared" si="17"/>
        <v>70.299999999999272</v>
      </c>
      <c r="AE62" s="78">
        <f t="shared" si="18"/>
        <v>419.30000000000109</v>
      </c>
      <c r="AF62" s="78">
        <f t="shared" si="19"/>
        <v>-4.3000000000010914</v>
      </c>
      <c r="AG62" s="78">
        <f t="shared" si="20"/>
        <v>-70.799999999999272</v>
      </c>
      <c r="AH62" s="78">
        <f t="shared" si="21"/>
        <v>0</v>
      </c>
      <c r="AI62" s="78">
        <f t="shared" si="22"/>
        <v>37407.1</v>
      </c>
      <c r="AJ62" s="78">
        <f t="shared" si="23"/>
        <v>-3290.5999999999985</v>
      </c>
      <c r="AK62" s="78">
        <f t="shared" si="24"/>
        <v>-3365.6999999999989</v>
      </c>
      <c r="AL62" s="78">
        <f t="shared" si="25"/>
        <v>37938.6</v>
      </c>
      <c r="AM62" s="78">
        <f t="shared" si="26"/>
        <v>0</v>
      </c>
      <c r="AN62" s="78"/>
      <c r="AO62" s="78">
        <f t="shared" si="33"/>
        <v>-280.47499999999991</v>
      </c>
      <c r="AP62" s="78">
        <f t="shared" si="33"/>
        <v>3161.5499999999997</v>
      </c>
      <c r="AQ62" s="82">
        <f t="shared" si="34"/>
        <v>2881.0749999999998</v>
      </c>
      <c r="AR62" s="82">
        <f t="shared" si="27"/>
        <v>0</v>
      </c>
      <c r="AT62" s="82"/>
      <c r="AU62" s="82"/>
      <c r="AV62" s="82"/>
      <c r="AW62" s="82"/>
      <c r="AX62" s="82"/>
    </row>
    <row r="63" spans="2:50" x14ac:dyDescent="0.75">
      <c r="B63" s="130" t="s">
        <v>68</v>
      </c>
      <c r="C63" s="143">
        <v>0</v>
      </c>
      <c r="D63" s="142">
        <v>0</v>
      </c>
      <c r="E63" s="142">
        <v>0</v>
      </c>
      <c r="F63" s="142">
        <v>0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448.15699999999998</v>
      </c>
      <c r="O63" s="153">
        <v>79.672200000000004</v>
      </c>
      <c r="P63" s="123">
        <f t="shared" si="28"/>
        <v>527.82920000000001</v>
      </c>
      <c r="Q63" s="92">
        <f t="shared" si="29"/>
        <v>37.346416666666663</v>
      </c>
      <c r="R63" s="79">
        <f t="shared" si="30"/>
        <v>30.707066666666663</v>
      </c>
      <c r="S63" s="93">
        <f t="shared" si="31"/>
        <v>6.6393500000000003</v>
      </c>
      <c r="T63" s="86">
        <f t="shared" si="32"/>
        <v>79.672200000000004</v>
      </c>
      <c r="U63" s="94" t="e">
        <f t="shared" si="10"/>
        <v>#DIV/0!</v>
      </c>
      <c r="V63" s="101"/>
      <c r="W63" s="98">
        <f t="shared" si="11"/>
        <v>1.6421450971460607E-3</v>
      </c>
      <c r="X63" s="98"/>
      <c r="Y63" s="78">
        <f t="shared" si="12"/>
        <v>0</v>
      </c>
      <c r="Z63" s="78">
        <f t="shared" si="13"/>
        <v>0</v>
      </c>
      <c r="AA63" s="78">
        <f t="shared" si="14"/>
        <v>0</v>
      </c>
      <c r="AB63" s="78">
        <f t="shared" si="15"/>
        <v>0</v>
      </c>
      <c r="AC63" s="78">
        <f t="shared" si="16"/>
        <v>0</v>
      </c>
      <c r="AD63" s="78">
        <f t="shared" si="17"/>
        <v>0</v>
      </c>
      <c r="AE63" s="78">
        <f t="shared" si="18"/>
        <v>0</v>
      </c>
      <c r="AF63" s="78">
        <f t="shared" si="19"/>
        <v>0</v>
      </c>
      <c r="AG63" s="78">
        <f t="shared" si="20"/>
        <v>0</v>
      </c>
      <c r="AH63" s="78">
        <f t="shared" si="21"/>
        <v>0</v>
      </c>
      <c r="AI63" s="78">
        <f t="shared" si="22"/>
        <v>448.15699999999998</v>
      </c>
      <c r="AJ63" s="78">
        <f t="shared" si="23"/>
        <v>-368.48479999999995</v>
      </c>
      <c r="AK63" s="78">
        <f t="shared" si="24"/>
        <v>-368.48479999999995</v>
      </c>
      <c r="AL63" s="78">
        <f t="shared" si="25"/>
        <v>448.15699999999998</v>
      </c>
      <c r="AM63" s="78">
        <f t="shared" si="26"/>
        <v>0</v>
      </c>
      <c r="AN63" s="78"/>
      <c r="AO63" s="78">
        <f t="shared" si="33"/>
        <v>-30.707066666666663</v>
      </c>
      <c r="AP63" s="78">
        <f t="shared" si="33"/>
        <v>37.346416666666663</v>
      </c>
      <c r="AQ63" s="82">
        <f t="shared" si="34"/>
        <v>6.6393500000000003</v>
      </c>
      <c r="AR63" s="82">
        <f t="shared" si="27"/>
        <v>0</v>
      </c>
      <c r="AT63" s="82"/>
      <c r="AU63" s="82"/>
      <c r="AV63" s="82"/>
      <c r="AW63" s="82"/>
      <c r="AX63" s="82"/>
    </row>
    <row r="64" spans="2:50" x14ac:dyDescent="0.75">
      <c r="B64" s="130" t="s">
        <v>58</v>
      </c>
      <c r="C64" s="142">
        <v>158.70400000000001</v>
      </c>
      <c r="D64" s="142">
        <v>158.70400000000001</v>
      </c>
      <c r="E64" s="142">
        <v>158.70400000000001</v>
      </c>
      <c r="F64" s="142">
        <v>158.70400000000001</v>
      </c>
      <c r="G64" s="142">
        <v>158.70400000000001</v>
      </c>
      <c r="H64" s="142">
        <v>158.70400000000001</v>
      </c>
      <c r="I64" s="142">
        <v>158.70400000000001</v>
      </c>
      <c r="J64" s="142">
        <v>158.70400000000001</v>
      </c>
      <c r="K64" s="142">
        <v>158.70400000000001</v>
      </c>
      <c r="L64" s="142">
        <v>158.70400000000001</v>
      </c>
      <c r="M64" s="142">
        <v>158.70400000000001</v>
      </c>
      <c r="N64" s="142">
        <v>175.21</v>
      </c>
      <c r="O64" s="153">
        <v>175</v>
      </c>
      <c r="P64" s="123">
        <f t="shared" si="28"/>
        <v>2095.9539999999997</v>
      </c>
      <c r="Q64" s="92">
        <f t="shared" si="29"/>
        <v>1.3754999999999999</v>
      </c>
      <c r="R64" s="79">
        <f t="shared" si="30"/>
        <v>1.7500000000000664E-2</v>
      </c>
      <c r="S64" s="93">
        <f t="shared" si="31"/>
        <v>1.3579999999999992</v>
      </c>
      <c r="T64" s="86">
        <f t="shared" si="32"/>
        <v>16.295999999999992</v>
      </c>
      <c r="U64" s="83">
        <f t="shared" si="10"/>
        <v>10.268172194777694</v>
      </c>
      <c r="V64" s="101"/>
      <c r="W64" s="98">
        <f t="shared" si="11"/>
        <v>3.3588122962704926E-4</v>
      </c>
      <c r="X64" s="98"/>
      <c r="Y64" s="78">
        <f t="shared" si="12"/>
        <v>0</v>
      </c>
      <c r="Z64" s="78">
        <f t="shared" si="13"/>
        <v>0</v>
      </c>
      <c r="AA64" s="78">
        <f t="shared" si="14"/>
        <v>0</v>
      </c>
      <c r="AB64" s="78">
        <f t="shared" si="15"/>
        <v>0</v>
      </c>
      <c r="AC64" s="78">
        <f t="shared" si="16"/>
        <v>0</v>
      </c>
      <c r="AD64" s="78">
        <f t="shared" si="17"/>
        <v>0</v>
      </c>
      <c r="AE64" s="78">
        <f t="shared" si="18"/>
        <v>0</v>
      </c>
      <c r="AF64" s="78">
        <f t="shared" si="19"/>
        <v>0</v>
      </c>
      <c r="AG64" s="78">
        <f t="shared" si="20"/>
        <v>0</v>
      </c>
      <c r="AH64" s="78">
        <f t="shared" si="21"/>
        <v>0</v>
      </c>
      <c r="AI64" s="78">
        <f t="shared" si="22"/>
        <v>16.506</v>
      </c>
      <c r="AJ64" s="78">
        <f t="shared" si="23"/>
        <v>-0.21000000000000796</v>
      </c>
      <c r="AK64" s="78">
        <f t="shared" si="24"/>
        <v>-0.21000000000000796</v>
      </c>
      <c r="AL64" s="78">
        <f t="shared" si="25"/>
        <v>16.506</v>
      </c>
      <c r="AM64" s="78">
        <f t="shared" si="26"/>
        <v>0</v>
      </c>
      <c r="AN64" s="78"/>
      <c r="AO64" s="78">
        <f t="shared" si="33"/>
        <v>-1.7500000000000664E-2</v>
      </c>
      <c r="AP64" s="78">
        <f t="shared" si="33"/>
        <v>1.3754999999999999</v>
      </c>
      <c r="AQ64" s="82">
        <f t="shared" si="34"/>
        <v>1.3579999999999992</v>
      </c>
      <c r="AR64" s="82">
        <f t="shared" si="27"/>
        <v>0</v>
      </c>
      <c r="AT64" s="82"/>
      <c r="AU64" s="82"/>
      <c r="AV64" s="82"/>
      <c r="AW64" s="82"/>
      <c r="AX64" s="82"/>
    </row>
    <row r="65" spans="2:50" x14ac:dyDescent="0.75">
      <c r="B65" s="130" t="s">
        <v>60</v>
      </c>
      <c r="C65" s="142">
        <v>36638</v>
      </c>
      <c r="D65" s="142">
        <v>41429.599999999999</v>
      </c>
      <c r="E65" s="142">
        <v>46221.2</v>
      </c>
      <c r="F65" s="142">
        <v>46221.2</v>
      </c>
      <c r="G65" s="142">
        <v>46221.2</v>
      </c>
      <c r="H65" s="142">
        <v>46221.2</v>
      </c>
      <c r="I65" s="142">
        <v>46221.2</v>
      </c>
      <c r="J65" s="142">
        <v>46440.4</v>
      </c>
      <c r="K65" s="142">
        <v>46440.4</v>
      </c>
      <c r="L65" s="142">
        <v>46151.8</v>
      </c>
      <c r="M65" s="142">
        <v>45503.7</v>
      </c>
      <c r="N65" s="142">
        <v>26525.599999999999</v>
      </c>
      <c r="O65" s="153">
        <v>25575</v>
      </c>
      <c r="P65" s="123">
        <f t="shared" si="28"/>
        <v>545810.5</v>
      </c>
      <c r="Q65" s="92">
        <f t="shared" si="29"/>
        <v>816.86666666666679</v>
      </c>
      <c r="R65" s="79">
        <f t="shared" si="30"/>
        <v>1738.7833333333335</v>
      </c>
      <c r="S65" s="93">
        <f t="shared" si="31"/>
        <v>-921.91666666666674</v>
      </c>
      <c r="T65" s="86">
        <f t="shared" si="32"/>
        <v>-11063</v>
      </c>
      <c r="U65" s="83">
        <f t="shared" si="10"/>
        <v>-30.195425514493149</v>
      </c>
      <c r="V65" s="101"/>
      <c r="W65" s="98">
        <f t="shared" si="11"/>
        <v>-0.22802246216028765</v>
      </c>
      <c r="X65" s="98"/>
      <c r="Y65" s="78">
        <f t="shared" si="12"/>
        <v>4791.5999999999985</v>
      </c>
      <c r="Z65" s="78">
        <f t="shared" si="13"/>
        <v>4791.5999999999985</v>
      </c>
      <c r="AA65" s="78">
        <f t="shared" si="14"/>
        <v>0</v>
      </c>
      <c r="AB65" s="78">
        <f t="shared" si="15"/>
        <v>0</v>
      </c>
      <c r="AC65" s="78">
        <f t="shared" si="16"/>
        <v>0</v>
      </c>
      <c r="AD65" s="78">
        <f t="shared" si="17"/>
        <v>0</v>
      </c>
      <c r="AE65" s="78">
        <f t="shared" si="18"/>
        <v>219.20000000000437</v>
      </c>
      <c r="AF65" s="78">
        <f t="shared" si="19"/>
        <v>0</v>
      </c>
      <c r="AG65" s="78">
        <f t="shared" si="20"/>
        <v>-288.59999999999854</v>
      </c>
      <c r="AH65" s="78">
        <f t="shared" si="21"/>
        <v>-648.10000000000582</v>
      </c>
      <c r="AI65" s="78">
        <f t="shared" si="22"/>
        <v>-18978.099999999999</v>
      </c>
      <c r="AJ65" s="78">
        <f t="shared" si="23"/>
        <v>-950.59999999999854</v>
      </c>
      <c r="AK65" s="78">
        <f t="shared" si="24"/>
        <v>-20865.400000000001</v>
      </c>
      <c r="AL65" s="78">
        <f t="shared" si="25"/>
        <v>9802.4000000000015</v>
      </c>
      <c r="AM65" s="78">
        <f t="shared" si="26"/>
        <v>0</v>
      </c>
      <c r="AN65" s="78"/>
      <c r="AO65" s="78">
        <f t="shared" si="33"/>
        <v>-1738.7833333333335</v>
      </c>
      <c r="AP65" s="78">
        <f t="shared" si="33"/>
        <v>816.86666666666679</v>
      </c>
      <c r="AQ65" s="82">
        <f t="shared" si="34"/>
        <v>-921.91666666666674</v>
      </c>
      <c r="AR65" s="82">
        <f t="shared" si="27"/>
        <v>0</v>
      </c>
      <c r="AT65" s="82"/>
      <c r="AU65" s="82"/>
      <c r="AV65" s="82"/>
      <c r="AW65" s="82"/>
      <c r="AX65" s="82"/>
    </row>
    <row r="66" spans="2:50" x14ac:dyDescent="0.75">
      <c r="B66" s="130" t="s">
        <v>62</v>
      </c>
      <c r="C66" s="142">
        <v>394375</v>
      </c>
      <c r="D66" s="142">
        <v>456595.5</v>
      </c>
      <c r="E66" s="142">
        <v>518816</v>
      </c>
      <c r="F66" s="142">
        <v>521051</v>
      </c>
      <c r="G66" s="142">
        <v>527044</v>
      </c>
      <c r="H66" s="142">
        <v>527044</v>
      </c>
      <c r="I66" s="142">
        <v>527034</v>
      </c>
      <c r="J66" s="142">
        <v>530472</v>
      </c>
      <c r="K66" s="142">
        <v>529565</v>
      </c>
      <c r="L66" s="142">
        <v>516113</v>
      </c>
      <c r="M66" s="142">
        <v>554354</v>
      </c>
      <c r="N66" s="142">
        <v>532291</v>
      </c>
      <c r="O66" s="153">
        <v>437538</v>
      </c>
      <c r="P66" s="123">
        <f t="shared" si="28"/>
        <v>6572292.5</v>
      </c>
      <c r="Q66" s="92">
        <f t="shared" si="29"/>
        <v>14529</v>
      </c>
      <c r="R66" s="79">
        <f t="shared" si="30"/>
        <v>10932.083333333334</v>
      </c>
      <c r="S66" s="93">
        <f t="shared" si="31"/>
        <v>3596.9166666666661</v>
      </c>
      <c r="T66" s="86">
        <f t="shared" si="32"/>
        <v>43162.999999999993</v>
      </c>
      <c r="U66" s="83">
        <f t="shared" si="10"/>
        <v>10.944659270998413</v>
      </c>
      <c r="V66" s="101"/>
      <c r="W66" s="98">
        <f t="shared" si="11"/>
        <v>0.88964417736820878</v>
      </c>
      <c r="X66" s="98"/>
      <c r="Y66" s="78">
        <f t="shared" si="12"/>
        <v>62220.5</v>
      </c>
      <c r="Z66" s="78">
        <f t="shared" si="13"/>
        <v>62220.5</v>
      </c>
      <c r="AA66" s="78">
        <f t="shared" si="14"/>
        <v>2235</v>
      </c>
      <c r="AB66" s="78">
        <f t="shared" si="15"/>
        <v>5993</v>
      </c>
      <c r="AC66" s="78">
        <f t="shared" si="16"/>
        <v>0</v>
      </c>
      <c r="AD66" s="78">
        <f t="shared" si="17"/>
        <v>-10</v>
      </c>
      <c r="AE66" s="78">
        <f t="shared" si="18"/>
        <v>3438</v>
      </c>
      <c r="AF66" s="78">
        <f t="shared" si="19"/>
        <v>-907</v>
      </c>
      <c r="AG66" s="78">
        <f t="shared" si="20"/>
        <v>-13452</v>
      </c>
      <c r="AH66" s="78">
        <f t="shared" si="21"/>
        <v>38241</v>
      </c>
      <c r="AI66" s="78">
        <f t="shared" si="22"/>
        <v>-22063</v>
      </c>
      <c r="AJ66" s="78">
        <f t="shared" si="23"/>
        <v>-94753</v>
      </c>
      <c r="AK66" s="78">
        <f>SUMIF(Y66:AJ66,"&lt;0")</f>
        <v>-131185</v>
      </c>
      <c r="AL66" s="78">
        <f>SUMIF(Y66:AJ66,"&gt;0")</f>
        <v>174348</v>
      </c>
      <c r="AM66" s="78">
        <f t="shared" si="26"/>
        <v>0</v>
      </c>
      <c r="AN66" s="78"/>
      <c r="AO66" s="78">
        <f t="shared" si="33"/>
        <v>-10932.083333333334</v>
      </c>
      <c r="AP66" s="78">
        <f t="shared" si="33"/>
        <v>14529</v>
      </c>
      <c r="AQ66" s="82">
        <f t="shared" si="34"/>
        <v>3596.9166666666661</v>
      </c>
      <c r="AR66" s="82">
        <f t="shared" si="27"/>
        <v>0</v>
      </c>
      <c r="AT66" s="82"/>
      <c r="AU66" s="82"/>
      <c r="AV66" s="82"/>
      <c r="AW66" s="82"/>
      <c r="AX66" s="82"/>
    </row>
    <row r="67" spans="2:50" x14ac:dyDescent="0.75">
      <c r="T67" s="95"/>
      <c r="U67" s="95"/>
      <c r="V67" s="102"/>
    </row>
    <row r="70" spans="2:50" x14ac:dyDescent="0.75">
      <c r="K70" s="124" t="s">
        <v>113</v>
      </c>
    </row>
    <row r="72" spans="2:50" x14ac:dyDescent="0.75">
      <c r="D72" s="124">
        <v>8633.4699999999993</v>
      </c>
    </row>
    <row r="73" spans="2:50" x14ac:dyDescent="0.75">
      <c r="D73" s="124">
        <v>405.18</v>
      </c>
    </row>
    <row r="74" spans="2:50" x14ac:dyDescent="0.75">
      <c r="D74" s="124">
        <f>D72-D73</f>
        <v>8228.2899999999991</v>
      </c>
      <c r="E74" s="124">
        <v>131652.71</v>
      </c>
      <c r="F74" s="124">
        <f>E74/D74</f>
        <v>16.000008507235403</v>
      </c>
      <c r="G74" s="124">
        <v>135.19</v>
      </c>
      <c r="H74" s="124">
        <f>E74*G74/100</f>
        <v>177981.298649</v>
      </c>
      <c r="I74" s="124">
        <v>0</v>
      </c>
    </row>
    <row r="75" spans="2:50" x14ac:dyDescent="0.75">
      <c r="D75" s="124">
        <v>15107.67</v>
      </c>
      <c r="E75" s="124">
        <v>241772.79</v>
      </c>
      <c r="F75" s="124">
        <f>E75/D75</f>
        <v>16.00331421059634</v>
      </c>
      <c r="G75" s="124">
        <v>8.61</v>
      </c>
      <c r="H75" s="124">
        <f>E75*G75/100</f>
        <v>20816.637219</v>
      </c>
    </row>
    <row r="81" spans="1:13" x14ac:dyDescent="0.75">
      <c r="M81" s="124">
        <v>131652.71</v>
      </c>
    </row>
    <row r="82" spans="1:13" x14ac:dyDescent="0.75">
      <c r="A82" s="124"/>
      <c r="B82" s="191" t="s">
        <v>110</v>
      </c>
      <c r="C82" s="192" t="s">
        <v>126</v>
      </c>
      <c r="D82" s="193"/>
      <c r="E82" s="194"/>
      <c r="F82" s="192" t="s">
        <v>134</v>
      </c>
      <c r="G82" s="194"/>
      <c r="L82" s="156">
        <f>M82*M84</f>
        <v>131652.71</v>
      </c>
      <c r="M82" s="124">
        <v>8228.2900000000009</v>
      </c>
    </row>
    <row r="83" spans="1:13" ht="11" customHeight="1" x14ac:dyDescent="0.75">
      <c r="A83" s="124"/>
      <c r="B83" s="191"/>
      <c r="C83" s="195"/>
      <c r="D83" s="196"/>
      <c r="E83" s="197"/>
      <c r="F83" s="195"/>
      <c r="G83" s="197"/>
      <c r="L83" s="156">
        <v>15107.67</v>
      </c>
    </row>
    <row r="84" spans="1:13" x14ac:dyDescent="0.75">
      <c r="A84" s="124"/>
      <c r="B84" s="191"/>
      <c r="C84" s="125" t="s">
        <v>127</v>
      </c>
      <c r="D84" s="125" t="s">
        <v>128</v>
      </c>
      <c r="E84" s="125" t="s">
        <v>129</v>
      </c>
      <c r="F84" s="125" t="s">
        <v>80</v>
      </c>
      <c r="G84" s="125" t="s">
        <v>125</v>
      </c>
      <c r="L84" s="157">
        <f>L83*16</f>
        <v>241722.72</v>
      </c>
      <c r="M84" s="124">
        <f>M81/M82</f>
        <v>16.0000085072354</v>
      </c>
    </row>
    <row r="85" spans="1:13" x14ac:dyDescent="0.75">
      <c r="B85" s="130" t="s">
        <v>26</v>
      </c>
      <c r="C85" s="141">
        <f>$Q46</f>
        <v>8206.6666666666661</v>
      </c>
      <c r="D85" s="141">
        <f>$R46</f>
        <v>24404.833333333332</v>
      </c>
      <c r="E85" s="141">
        <f>C85-D85</f>
        <v>-16198.166666666666</v>
      </c>
      <c r="F85" s="128">
        <f t="shared" ref="F85:F105" si="35">$T46</f>
        <v>-194378</v>
      </c>
      <c r="G85" s="158">
        <f>$U46</f>
        <v>-27.978645156368525</v>
      </c>
      <c r="M85" s="124">
        <f>M82/M81</f>
        <v>6.2499966768629386E-2</v>
      </c>
    </row>
    <row r="86" spans="1:13" x14ac:dyDescent="0.75">
      <c r="B86" s="130" t="s">
        <v>28</v>
      </c>
      <c r="C86" s="141">
        <f t="shared" ref="C86:C105" si="36">$Q47</f>
        <v>12976.916666666666</v>
      </c>
      <c r="D86" s="141">
        <f t="shared" ref="D86:D105" si="37">$R47</f>
        <v>13539.75</v>
      </c>
      <c r="E86" s="141">
        <f t="shared" ref="E86:E105" si="38">C86-D86</f>
        <v>-562.83333333333394</v>
      </c>
      <c r="F86" s="128">
        <f t="shared" si="35"/>
        <v>-6754.0000000000073</v>
      </c>
      <c r="G86" s="158">
        <f t="shared" ref="G86:G105" si="39">$U47</f>
        <v>-1.0585393911752869</v>
      </c>
    </row>
    <row r="87" spans="1:13" x14ac:dyDescent="0.75">
      <c r="B87" s="130" t="s">
        <v>30</v>
      </c>
      <c r="C87" s="141">
        <f t="shared" si="36"/>
        <v>162.58333333333334</v>
      </c>
      <c r="D87" s="141">
        <f t="shared" si="37"/>
        <v>1274.5</v>
      </c>
      <c r="E87" s="141">
        <f t="shared" si="38"/>
        <v>-1111.9166666666667</v>
      </c>
      <c r="F87" s="128">
        <f t="shared" si="35"/>
        <v>-13343</v>
      </c>
      <c r="G87" s="158">
        <f t="shared" si="39"/>
        <v>-6.3925606174572529</v>
      </c>
    </row>
    <row r="88" spans="1:13" x14ac:dyDescent="0.75">
      <c r="B88" s="130" t="s">
        <v>46</v>
      </c>
      <c r="C88" s="141">
        <f t="shared" si="36"/>
        <v>282.60000000000008</v>
      </c>
      <c r="D88" s="141">
        <f t="shared" si="37"/>
        <v>389.74166666666679</v>
      </c>
      <c r="E88" s="141">
        <f t="shared" si="38"/>
        <v>-107.14166666666671</v>
      </c>
      <c r="F88" s="128">
        <f t="shared" si="35"/>
        <v>-1285.7000000000005</v>
      </c>
      <c r="G88" s="158">
        <f t="shared" si="39"/>
        <v>-5.0727353789459997</v>
      </c>
    </row>
    <row r="89" spans="1:13" x14ac:dyDescent="0.75">
      <c r="B89" s="130" t="s">
        <v>32</v>
      </c>
      <c r="C89" s="141">
        <f t="shared" si="36"/>
        <v>290.08333333333331</v>
      </c>
      <c r="D89" s="141">
        <f t="shared" si="37"/>
        <v>11976.416666666666</v>
      </c>
      <c r="E89" s="141">
        <f t="shared" si="38"/>
        <v>-11686.333333333332</v>
      </c>
      <c r="F89" s="128">
        <f t="shared" si="35"/>
        <v>-140236</v>
      </c>
      <c r="G89" s="158">
        <f t="shared" si="39"/>
        <v>-40.953307108918928</v>
      </c>
    </row>
    <row r="90" spans="1:13" x14ac:dyDescent="0.75">
      <c r="B90" s="130" t="s">
        <v>48</v>
      </c>
      <c r="C90" s="141">
        <f t="shared" si="36"/>
        <v>20255.25</v>
      </c>
      <c r="D90" s="141">
        <f>$R51</f>
        <v>20242.166666666668</v>
      </c>
      <c r="E90" s="141">
        <f t="shared" si="38"/>
        <v>13.083333333332121</v>
      </c>
      <c r="F90" s="128">
        <f t="shared" si="35"/>
        <v>156.99999999998545</v>
      </c>
      <c r="G90" s="158">
        <f t="shared" si="39"/>
        <v>2.9560786957100228E-2</v>
      </c>
    </row>
    <row r="91" spans="1:13" x14ac:dyDescent="0.75">
      <c r="B91" s="130" t="s">
        <v>34</v>
      </c>
      <c r="C91" s="141">
        <f t="shared" si="36"/>
        <v>9267.2583333333332</v>
      </c>
      <c r="D91" s="141">
        <f t="shared" si="37"/>
        <v>4474</v>
      </c>
      <c r="E91" s="141">
        <f t="shared" si="38"/>
        <v>4793.2583333333332</v>
      </c>
      <c r="F91" s="128">
        <f t="shared" si="35"/>
        <v>57519.1</v>
      </c>
      <c r="G91" s="158">
        <f t="shared" si="39"/>
        <v>79.947710710408799</v>
      </c>
    </row>
    <row r="92" spans="1:13" x14ac:dyDescent="0.75">
      <c r="B92" s="130" t="s">
        <v>66</v>
      </c>
      <c r="C92" s="141">
        <f t="shared" si="36"/>
        <v>7863.2166666666672</v>
      </c>
      <c r="D92" s="141">
        <f t="shared" si="37"/>
        <v>0</v>
      </c>
      <c r="E92" s="141">
        <f t="shared" si="38"/>
        <v>7863.2166666666672</v>
      </c>
      <c r="F92" s="128">
        <f t="shared" si="35"/>
        <v>94358.6</v>
      </c>
      <c r="G92" s="158"/>
    </row>
    <row r="93" spans="1:13" x14ac:dyDescent="0.75">
      <c r="B93" s="130" t="s">
        <v>36</v>
      </c>
      <c r="C93" s="141">
        <f>$Q54</f>
        <v>393.19416666666666</v>
      </c>
      <c r="D93" s="141">
        <f>$R54</f>
        <v>65.674999999999955</v>
      </c>
      <c r="E93" s="141">
        <f t="shared" si="38"/>
        <v>327.51916666666671</v>
      </c>
      <c r="F93" s="128">
        <f t="shared" si="35"/>
        <v>3930.2300000000005</v>
      </c>
      <c r="G93" s="158">
        <f t="shared" si="39"/>
        <v>124.38499492045209</v>
      </c>
    </row>
    <row r="94" spans="1:13" x14ac:dyDescent="0.75">
      <c r="B94" s="130" t="s">
        <v>38</v>
      </c>
      <c r="C94" s="141">
        <f t="shared" si="36"/>
        <v>22871.75</v>
      </c>
      <c r="D94" s="141">
        <f t="shared" si="37"/>
        <v>22269.041666666668</v>
      </c>
      <c r="E94" s="141">
        <f t="shared" si="38"/>
        <v>602.70833333333212</v>
      </c>
      <c r="F94" s="128">
        <f t="shared" si="35"/>
        <v>7232.4999999999854</v>
      </c>
      <c r="G94" s="158">
        <f t="shared" si="39"/>
        <v>8.8510358128879218</v>
      </c>
    </row>
    <row r="95" spans="1:13" x14ac:dyDescent="0.75">
      <c r="B95" s="130" t="s">
        <v>40</v>
      </c>
      <c r="C95" s="141">
        <f t="shared" si="36"/>
        <v>0</v>
      </c>
      <c r="D95" s="141">
        <f t="shared" si="37"/>
        <v>63.637250000000002</v>
      </c>
      <c r="E95" s="141">
        <f t="shared" si="38"/>
        <v>-63.637250000000002</v>
      </c>
      <c r="F95" s="128">
        <f t="shared" si="35"/>
        <v>-763.64700000000005</v>
      </c>
      <c r="G95" s="158">
        <f t="shared" si="39"/>
        <v>-100.00000000000001</v>
      </c>
    </row>
    <row r="96" spans="1:13" x14ac:dyDescent="0.75">
      <c r="B96" s="130" t="s">
        <v>42</v>
      </c>
      <c r="C96" s="141">
        <f t="shared" si="36"/>
        <v>30703.583333333332</v>
      </c>
      <c r="D96" s="141">
        <f t="shared" si="37"/>
        <v>23738.5</v>
      </c>
      <c r="E96" s="141">
        <f t="shared" si="38"/>
        <v>6965.0833333333321</v>
      </c>
      <c r="F96" s="128">
        <f t="shared" si="35"/>
        <v>83580.999999999985</v>
      </c>
      <c r="G96" s="158">
        <f t="shared" si="39"/>
        <v>17.719364077906601</v>
      </c>
    </row>
    <row r="97" spans="2:7" x14ac:dyDescent="0.75">
      <c r="B97" s="130" t="s">
        <v>44</v>
      </c>
      <c r="C97" s="141">
        <f t="shared" si="36"/>
        <v>2462.9854000000146</v>
      </c>
      <c r="D97" s="141">
        <f t="shared" si="37"/>
        <v>2641.9146666666979</v>
      </c>
      <c r="E97" s="141">
        <f t="shared" si="38"/>
        <v>-178.92926666668336</v>
      </c>
      <c r="F97" s="128">
        <f t="shared" si="35"/>
        <v>-2147.1512000002003</v>
      </c>
      <c r="G97" s="158">
        <f t="shared" si="39"/>
        <v>-0.60993221454385127</v>
      </c>
    </row>
    <row r="98" spans="2:7" x14ac:dyDescent="0.75">
      <c r="B98" s="130" t="s">
        <v>50</v>
      </c>
      <c r="C98" s="141">
        <f t="shared" si="36"/>
        <v>12203.416666666666</v>
      </c>
      <c r="D98" s="141">
        <f t="shared" si="37"/>
        <v>11126</v>
      </c>
      <c r="E98" s="141">
        <f t="shared" si="38"/>
        <v>1077.4166666666661</v>
      </c>
      <c r="F98" s="128">
        <f t="shared" si="35"/>
        <v>12928.999999999993</v>
      </c>
      <c r="G98" s="158">
        <f t="shared" si="39"/>
        <v>1.3901119164277052</v>
      </c>
    </row>
    <row r="99" spans="2:7" x14ac:dyDescent="0.75">
      <c r="B99" s="130" t="s">
        <v>52</v>
      </c>
      <c r="C99" s="141">
        <f t="shared" si="36"/>
        <v>731.41666666666652</v>
      </c>
      <c r="D99" s="141">
        <f t="shared" si="37"/>
        <v>123.59999999999991</v>
      </c>
      <c r="E99" s="141">
        <f t="shared" si="38"/>
        <v>607.81666666666661</v>
      </c>
      <c r="F99" s="128">
        <f t="shared" si="35"/>
        <v>7293.7999999999993</v>
      </c>
      <c r="G99" s="158">
        <f t="shared" si="39"/>
        <v>50.73241983724003</v>
      </c>
    </row>
    <row r="100" spans="2:7" x14ac:dyDescent="0.75">
      <c r="B100" s="130" t="s">
        <v>54</v>
      </c>
      <c r="C100" s="141">
        <f t="shared" si="36"/>
        <v>2570.8749999999986</v>
      </c>
      <c r="D100" s="141">
        <f>$R61</f>
        <v>476.09166666666596</v>
      </c>
      <c r="E100" s="141">
        <f t="shared" si="38"/>
        <v>2094.7833333333328</v>
      </c>
      <c r="F100" s="128">
        <f t="shared" si="35"/>
        <v>25137.399999999994</v>
      </c>
      <c r="G100" s="158">
        <f t="shared" si="39"/>
        <v>57.837252055229463</v>
      </c>
    </row>
    <row r="101" spans="2:7" x14ac:dyDescent="0.75">
      <c r="B101" s="130" t="s">
        <v>115</v>
      </c>
      <c r="C101" s="141">
        <f t="shared" si="36"/>
        <v>3161.5499999999997</v>
      </c>
      <c r="D101" s="141">
        <f t="shared" si="37"/>
        <v>280.47499999999991</v>
      </c>
      <c r="E101" s="141">
        <f t="shared" si="38"/>
        <v>2881.0749999999998</v>
      </c>
      <c r="F101" s="128">
        <f t="shared" si="35"/>
        <v>34572.899999999994</v>
      </c>
      <c r="G101" s="158">
        <f t="shared" si="39"/>
        <v>316.26279535662331</v>
      </c>
    </row>
    <row r="102" spans="2:7" x14ac:dyDescent="0.75">
      <c r="B102" s="130" t="s">
        <v>68</v>
      </c>
      <c r="C102" s="141">
        <f t="shared" si="36"/>
        <v>37.346416666666663</v>
      </c>
      <c r="D102" s="141">
        <f t="shared" si="37"/>
        <v>30.707066666666663</v>
      </c>
      <c r="E102" s="141">
        <f t="shared" si="38"/>
        <v>6.6393500000000003</v>
      </c>
      <c r="F102" s="128">
        <f t="shared" si="35"/>
        <v>79.672200000000004</v>
      </c>
      <c r="G102" s="158"/>
    </row>
    <row r="103" spans="2:7" x14ac:dyDescent="0.75">
      <c r="B103" s="130" t="s">
        <v>58</v>
      </c>
      <c r="C103" s="141">
        <f t="shared" si="36"/>
        <v>1.3754999999999999</v>
      </c>
      <c r="D103" s="141">
        <f t="shared" si="37"/>
        <v>1.7500000000000664E-2</v>
      </c>
      <c r="E103" s="141">
        <f t="shared" si="38"/>
        <v>1.3579999999999992</v>
      </c>
      <c r="F103" s="128">
        <f t="shared" si="35"/>
        <v>16.295999999999992</v>
      </c>
      <c r="G103" s="158">
        <f t="shared" si="39"/>
        <v>10.268172194777694</v>
      </c>
    </row>
    <row r="104" spans="2:7" x14ac:dyDescent="0.75">
      <c r="B104" s="130" t="s">
        <v>60</v>
      </c>
      <c r="C104" s="141">
        <f t="shared" si="36"/>
        <v>816.86666666666679</v>
      </c>
      <c r="D104" s="141">
        <f t="shared" si="37"/>
        <v>1738.7833333333335</v>
      </c>
      <c r="E104" s="141">
        <f t="shared" si="38"/>
        <v>-921.91666666666674</v>
      </c>
      <c r="F104" s="128">
        <f t="shared" si="35"/>
        <v>-11063</v>
      </c>
      <c r="G104" s="158">
        <f t="shared" si="39"/>
        <v>-30.195425514493149</v>
      </c>
    </row>
    <row r="105" spans="2:7" x14ac:dyDescent="0.75">
      <c r="B105" s="130" t="s">
        <v>62</v>
      </c>
      <c r="C105" s="141">
        <f t="shared" si="36"/>
        <v>14529</v>
      </c>
      <c r="D105" s="141">
        <f t="shared" si="37"/>
        <v>10932.083333333334</v>
      </c>
      <c r="E105" s="141">
        <f t="shared" si="38"/>
        <v>3596.9166666666661</v>
      </c>
      <c r="F105" s="128">
        <f t="shared" si="35"/>
        <v>43162.999999999993</v>
      </c>
      <c r="G105" s="158">
        <f t="shared" si="39"/>
        <v>10.944659270998413</v>
      </c>
    </row>
  </sheetData>
  <mergeCells count="9">
    <mergeCell ref="B4:B6"/>
    <mergeCell ref="C4:O4"/>
    <mergeCell ref="B43:B45"/>
    <mergeCell ref="C43:O43"/>
    <mergeCell ref="Q43:S44"/>
    <mergeCell ref="T43:U44"/>
    <mergeCell ref="B82:B84"/>
    <mergeCell ref="C82:E83"/>
    <mergeCell ref="F82:G83"/>
  </mergeCells>
  <conditionalFormatting sqref="Y46:AJ66">
    <cfRule type="expression" dxfId="3" priority="1">
      <formula>Y46&gt;0</formula>
    </cfRule>
    <cfRule type="expression" dxfId="2" priority="2">
      <formula>Y46&lt;0</formula>
    </cfRule>
  </conditionalFormatting>
  <pageMargins left="0.7" right="0.7" top="0.75" bottom="0.75" header="0.3" footer="0.3"/>
  <pageSetup scale="60" orientation="portrait" r:id="rId1"/>
  <colBreaks count="1" manualBreakCount="1">
    <brk id="14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X107"/>
  <sheetViews>
    <sheetView topLeftCell="A33" zoomScale="90" zoomScaleNormal="90" zoomScaleSheetLayoutView="100" workbookViewId="0">
      <selection activeCell="V37" sqref="V37"/>
    </sheetView>
  </sheetViews>
  <sheetFormatPr defaultRowHeight="14.75" x14ac:dyDescent="0.75"/>
  <cols>
    <col min="2" max="2" width="17.1796875" style="124" customWidth="1"/>
    <col min="3" max="3" width="8.7265625" style="124" customWidth="1"/>
    <col min="4" max="4" width="8.81640625" style="124" customWidth="1"/>
    <col min="5" max="5" width="9.7265625" style="124" customWidth="1"/>
    <col min="6" max="6" width="9.1796875" style="124" customWidth="1"/>
    <col min="7" max="7" width="9.26953125" style="124" customWidth="1"/>
    <col min="8" max="8" width="9.6328125" style="124" customWidth="1"/>
    <col min="9" max="9" width="9.81640625" style="124" customWidth="1"/>
    <col min="10" max="10" width="10" style="124" customWidth="1"/>
    <col min="11" max="11" width="10.54296875" style="124" customWidth="1"/>
    <col min="12" max="12" width="10" style="124" customWidth="1"/>
    <col min="13" max="13" width="10.36328125" style="124" customWidth="1"/>
    <col min="14" max="14" width="10.08984375" style="124" customWidth="1"/>
    <col min="15" max="15" width="10" style="124" customWidth="1"/>
    <col min="16" max="16" width="11.81640625" customWidth="1"/>
    <col min="17" max="17" width="8.81640625" customWidth="1"/>
    <col min="20" max="20" width="9.1796875" customWidth="1"/>
    <col min="23" max="23" width="13.6328125" customWidth="1"/>
    <col min="24" max="24" width="9.90625" customWidth="1"/>
    <col min="25" max="25" width="13.54296875" customWidth="1"/>
    <col min="26" max="27" width="11.81640625" customWidth="1"/>
    <col min="28" max="28" width="13" customWidth="1"/>
    <col min="29" max="39" width="11.81640625" customWidth="1"/>
    <col min="41" max="42" width="11.81640625" customWidth="1"/>
    <col min="43" max="43" width="10.36328125" bestFit="1" customWidth="1"/>
    <col min="46" max="49" width="11.36328125" bestFit="1" customWidth="1"/>
  </cols>
  <sheetData>
    <row r="2" spans="2:25" x14ac:dyDescent="0.75">
      <c r="B2" s="124" t="s">
        <v>120</v>
      </c>
    </row>
    <row r="3" spans="2:25" x14ac:dyDescent="0.75">
      <c r="B3" s="124" t="s">
        <v>121</v>
      </c>
    </row>
    <row r="4" spans="2:25" ht="13" customHeight="1" x14ac:dyDescent="0.75">
      <c r="B4" s="198" t="s">
        <v>110</v>
      </c>
      <c r="C4" s="201" t="s">
        <v>113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3"/>
      <c r="P4" s="111"/>
    </row>
    <row r="5" spans="2:25" ht="13" customHeight="1" x14ac:dyDescent="0.75">
      <c r="B5" s="199"/>
      <c r="C5" s="134">
        <v>1990</v>
      </c>
      <c r="D5" s="147">
        <v>1996</v>
      </c>
      <c r="E5" s="147">
        <v>2000</v>
      </c>
      <c r="F5" s="147">
        <v>2003</v>
      </c>
      <c r="G5" s="147">
        <v>2006</v>
      </c>
      <c r="H5" s="147">
        <v>2009</v>
      </c>
      <c r="I5" s="147">
        <v>2011</v>
      </c>
      <c r="J5" s="147">
        <v>2014</v>
      </c>
      <c r="K5" s="147">
        <v>2015</v>
      </c>
      <c r="L5" s="147">
        <v>2016</v>
      </c>
      <c r="M5" s="147">
        <v>2017</v>
      </c>
      <c r="N5" s="147">
        <v>2018</v>
      </c>
      <c r="O5" s="147">
        <v>2019</v>
      </c>
      <c r="P5" s="112"/>
    </row>
    <row r="6" spans="2:25" ht="15" customHeight="1" x14ac:dyDescent="0.75">
      <c r="B6" s="200"/>
      <c r="C6" s="135" t="s">
        <v>114</v>
      </c>
      <c r="D6" s="135" t="s">
        <v>114</v>
      </c>
      <c r="E6" s="135" t="s">
        <v>114</v>
      </c>
      <c r="F6" s="135" t="s">
        <v>114</v>
      </c>
      <c r="G6" s="135" t="s">
        <v>114</v>
      </c>
      <c r="H6" s="135" t="s">
        <v>114</v>
      </c>
      <c r="I6" s="135" t="s">
        <v>114</v>
      </c>
      <c r="J6" s="135" t="s">
        <v>114</v>
      </c>
      <c r="K6" s="135" t="s">
        <v>114</v>
      </c>
      <c r="L6" s="135" t="s">
        <v>114</v>
      </c>
      <c r="M6" s="135" t="s">
        <v>114</v>
      </c>
      <c r="N6" s="135" t="s">
        <v>114</v>
      </c>
      <c r="O6" s="127" t="s">
        <v>114</v>
      </c>
      <c r="P6" s="99"/>
      <c r="W6" s="107"/>
      <c r="Y6" t="s">
        <v>113</v>
      </c>
    </row>
    <row r="7" spans="2:25" x14ac:dyDescent="0.75">
      <c r="B7" s="129" t="s">
        <v>111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13"/>
      <c r="W7" s="107"/>
      <c r="Y7" t="s">
        <v>131</v>
      </c>
    </row>
    <row r="8" spans="2:25" x14ac:dyDescent="0.75">
      <c r="B8" s="130" t="s">
        <v>26</v>
      </c>
      <c r="C8" s="145">
        <v>694737</v>
      </c>
      <c r="D8" s="145">
        <v>664756.5</v>
      </c>
      <c r="E8" s="145">
        <v>634776</v>
      </c>
      <c r="F8" s="145">
        <v>619004</v>
      </c>
      <c r="G8" s="145">
        <v>598828</v>
      </c>
      <c r="H8" s="145">
        <v>553728</v>
      </c>
      <c r="I8" s="145">
        <v>553098</v>
      </c>
      <c r="J8" s="145">
        <v>543670</v>
      </c>
      <c r="K8" s="145">
        <v>529715</v>
      </c>
      <c r="L8" s="145">
        <v>522977</v>
      </c>
      <c r="M8" s="145">
        <v>519144</v>
      </c>
      <c r="N8" s="145">
        <v>401879</v>
      </c>
      <c r="O8" s="145">
        <v>500359</v>
      </c>
      <c r="P8" s="114"/>
      <c r="R8">
        <f>(D15-C15)/C15</f>
        <v>-7.1626235460199444E-2</v>
      </c>
      <c r="S8" s="78"/>
      <c r="W8" s="107"/>
    </row>
    <row r="9" spans="2:25" x14ac:dyDescent="0.75">
      <c r="B9" s="130" t="s">
        <v>28</v>
      </c>
      <c r="C9" s="145">
        <v>638049</v>
      </c>
      <c r="D9" s="145">
        <v>620772.5</v>
      </c>
      <c r="E9" s="145">
        <v>603496</v>
      </c>
      <c r="F9" s="145">
        <v>618381</v>
      </c>
      <c r="G9" s="145">
        <v>627494</v>
      </c>
      <c r="H9" s="145">
        <v>672086</v>
      </c>
      <c r="I9" s="145">
        <v>672425</v>
      </c>
      <c r="J9" s="145">
        <v>678803</v>
      </c>
      <c r="K9" s="145">
        <v>664888</v>
      </c>
      <c r="L9" s="145">
        <v>654663</v>
      </c>
      <c r="M9" s="145">
        <v>652518</v>
      </c>
      <c r="N9" s="145">
        <v>732934</v>
      </c>
      <c r="O9" s="145">
        <v>631295</v>
      </c>
      <c r="P9" s="114"/>
      <c r="R9">
        <f>R8*100</f>
        <v>-7.1626235460199448</v>
      </c>
      <c r="W9" s="107"/>
    </row>
    <row r="10" spans="2:25" x14ac:dyDescent="0.75">
      <c r="B10" s="130" t="s">
        <v>30</v>
      </c>
      <c r="C10" s="136">
        <v>208727</v>
      </c>
      <c r="D10" s="136">
        <v>207345</v>
      </c>
      <c r="E10" s="136">
        <v>205963</v>
      </c>
      <c r="F10" s="136">
        <v>201768</v>
      </c>
      <c r="G10" s="136">
        <v>196510</v>
      </c>
      <c r="H10" s="136">
        <v>196510</v>
      </c>
      <c r="I10" s="136">
        <v>196510</v>
      </c>
      <c r="J10" s="136">
        <v>197808</v>
      </c>
      <c r="K10" s="136">
        <v>196758</v>
      </c>
      <c r="L10" s="136">
        <v>195162</v>
      </c>
      <c r="M10" s="136">
        <v>195007</v>
      </c>
      <c r="N10" s="136">
        <v>195660</v>
      </c>
      <c r="O10" s="136">
        <v>195384</v>
      </c>
      <c r="P10" s="115"/>
      <c r="T10" s="82"/>
      <c r="W10" s="107"/>
    </row>
    <row r="11" spans="2:25" x14ac:dyDescent="0.75">
      <c r="B11" s="130" t="s">
        <v>46</v>
      </c>
      <c r="C11" s="136">
        <v>25345.3</v>
      </c>
      <c r="D11" s="136">
        <v>24208.9</v>
      </c>
      <c r="E11" s="136">
        <v>23072.5</v>
      </c>
      <c r="F11" s="136">
        <v>25776.2</v>
      </c>
      <c r="G11" s="136">
        <v>23677.9</v>
      </c>
      <c r="H11" s="136">
        <v>23574</v>
      </c>
      <c r="I11" s="136">
        <v>23574</v>
      </c>
      <c r="J11" s="136">
        <v>23675.4</v>
      </c>
      <c r="K11" s="136">
        <v>23520.7</v>
      </c>
      <c r="L11" s="136">
        <v>23876.400000000001</v>
      </c>
      <c r="M11" s="136">
        <v>23829.200000000001</v>
      </c>
      <c r="N11" s="136">
        <v>23931.9</v>
      </c>
      <c r="O11" s="136">
        <v>24059.599999999999</v>
      </c>
      <c r="P11" s="115"/>
      <c r="W11" s="107"/>
    </row>
    <row r="12" spans="2:25" x14ac:dyDescent="0.75">
      <c r="B12" s="130" t="s">
        <v>32</v>
      </c>
      <c r="C12" s="137">
        <v>342429</v>
      </c>
      <c r="D12" s="137">
        <v>329304</v>
      </c>
      <c r="E12" s="137">
        <v>316179</v>
      </c>
      <c r="F12" s="137">
        <v>292789</v>
      </c>
      <c r="G12" s="137">
        <v>238249</v>
      </c>
      <c r="H12" s="137">
        <v>205343</v>
      </c>
      <c r="I12" s="137">
        <v>205343</v>
      </c>
      <c r="J12" s="137">
        <v>206530</v>
      </c>
      <c r="K12" s="137">
        <v>202799</v>
      </c>
      <c r="L12" s="137">
        <v>200958</v>
      </c>
      <c r="M12" s="137">
        <v>200400</v>
      </c>
      <c r="N12" s="137">
        <v>202694</v>
      </c>
      <c r="O12" s="137">
        <v>202193</v>
      </c>
      <c r="P12" s="116"/>
      <c r="W12" s="107"/>
    </row>
    <row r="13" spans="2:25" x14ac:dyDescent="0.75">
      <c r="B13" s="130" t="s">
        <v>48</v>
      </c>
      <c r="C13" s="137">
        <v>531109</v>
      </c>
      <c r="D13" s="137">
        <v>419213</v>
      </c>
      <c r="E13" s="137">
        <v>307317</v>
      </c>
      <c r="F13" s="137">
        <v>313173</v>
      </c>
      <c r="G13" s="137">
        <v>338909</v>
      </c>
      <c r="H13" s="137">
        <v>371810</v>
      </c>
      <c r="I13" s="137">
        <v>371810</v>
      </c>
      <c r="J13" s="137">
        <v>374446</v>
      </c>
      <c r="K13" s="137">
        <v>359399</v>
      </c>
      <c r="L13" s="137">
        <v>356270</v>
      </c>
      <c r="M13" s="137">
        <v>358089</v>
      </c>
      <c r="N13" s="137">
        <v>357151</v>
      </c>
      <c r="O13" s="137">
        <v>531266</v>
      </c>
      <c r="P13" s="116"/>
      <c r="W13" s="107"/>
    </row>
    <row r="14" spans="2:25" x14ac:dyDescent="0.75">
      <c r="B14" s="131" t="s">
        <v>117</v>
      </c>
      <c r="C14" s="138">
        <f t="shared" ref="C14:O14" si="0">SUM(C8:C13)</f>
        <v>2440396.2999999998</v>
      </c>
      <c r="D14" s="138">
        <f t="shared" si="0"/>
        <v>2265599.9</v>
      </c>
      <c r="E14" s="138">
        <f t="shared" si="0"/>
        <v>2090803.5</v>
      </c>
      <c r="F14" s="138">
        <f t="shared" si="0"/>
        <v>2070891.2</v>
      </c>
      <c r="G14" s="138">
        <f t="shared" si="0"/>
        <v>2023667.9</v>
      </c>
      <c r="H14" s="138">
        <f t="shared" si="0"/>
        <v>2023051</v>
      </c>
      <c r="I14" s="138">
        <f t="shared" si="0"/>
        <v>2022760</v>
      </c>
      <c r="J14" s="138">
        <f t="shared" si="0"/>
        <v>2024932.4</v>
      </c>
      <c r="K14" s="138">
        <f t="shared" si="0"/>
        <v>1977079.7</v>
      </c>
      <c r="L14" s="138">
        <f t="shared" si="0"/>
        <v>1953906.4</v>
      </c>
      <c r="M14" s="138">
        <f t="shared" si="0"/>
        <v>1948987.2</v>
      </c>
      <c r="N14" s="138">
        <f t="shared" si="0"/>
        <v>1914249.9</v>
      </c>
      <c r="O14" s="138">
        <f t="shared" si="0"/>
        <v>2084556.6</v>
      </c>
      <c r="P14" s="117"/>
      <c r="W14" s="107"/>
    </row>
    <row r="15" spans="2:25" x14ac:dyDescent="0.75">
      <c r="B15" s="131" t="s">
        <v>118</v>
      </c>
      <c r="C15" s="139">
        <f>(C14/(C14+C35))*100</f>
        <v>50.299663108818216</v>
      </c>
      <c r="D15" s="139">
        <f t="shared" ref="D15:O15" si="1">(D14/(D14+D35))*100</f>
        <v>46.696887595417294</v>
      </c>
      <c r="E15" s="139">
        <f t="shared" si="1"/>
        <v>43.094112082016359</v>
      </c>
      <c r="F15" s="139">
        <f t="shared" si="1"/>
        <v>42.683694322523074</v>
      </c>
      <c r="G15" s="139">
        <f t="shared" si="1"/>
        <v>41.710362212124991</v>
      </c>
      <c r="H15" s="139">
        <f t="shared" si="1"/>
        <v>41.697647120657336</v>
      </c>
      <c r="I15" s="139">
        <f t="shared" si="1"/>
        <v>41.691649241556853</v>
      </c>
      <c r="J15" s="139">
        <f t="shared" si="1"/>
        <v>41.736425160999765</v>
      </c>
      <c r="K15" s="139">
        <f t="shared" si="1"/>
        <v>40.750120318279201</v>
      </c>
      <c r="L15" s="139">
        <f t="shared" si="1"/>
        <v>40.272489212577405</v>
      </c>
      <c r="M15" s="139">
        <f t="shared" si="1"/>
        <v>40.171098261130354</v>
      </c>
      <c r="N15" s="139">
        <f t="shared" si="1"/>
        <v>39.455118447806598</v>
      </c>
      <c r="O15" s="139">
        <f t="shared" si="1"/>
        <v>42.965355549532482</v>
      </c>
      <c r="P15" s="118"/>
      <c r="W15" s="107"/>
    </row>
    <row r="16" spans="2:25" x14ac:dyDescent="0.75">
      <c r="B16" s="131" t="s">
        <v>119</v>
      </c>
      <c r="C16" s="138"/>
      <c r="D16" s="138">
        <f>D14-C14</f>
        <v>-174796.39999999991</v>
      </c>
      <c r="E16" s="138">
        <f t="shared" ref="E16:O16" si="2">E14-D14</f>
        <v>-174796.39999999991</v>
      </c>
      <c r="F16" s="138">
        <f>F14-E14</f>
        <v>-19912.300000000047</v>
      </c>
      <c r="G16" s="138">
        <f t="shared" si="2"/>
        <v>-47223.300000000047</v>
      </c>
      <c r="H16" s="138">
        <f t="shared" si="2"/>
        <v>-616.89999999990687</v>
      </c>
      <c r="I16" s="138">
        <f t="shared" si="2"/>
        <v>-291</v>
      </c>
      <c r="J16" s="138">
        <f t="shared" si="2"/>
        <v>2172.3999999999069</v>
      </c>
      <c r="K16" s="138">
        <f t="shared" si="2"/>
        <v>-47852.699999999953</v>
      </c>
      <c r="L16" s="138">
        <f t="shared" si="2"/>
        <v>-23173.300000000047</v>
      </c>
      <c r="M16" s="138">
        <f t="shared" si="2"/>
        <v>-4919.1999999999534</v>
      </c>
      <c r="N16" s="138">
        <f t="shared" si="2"/>
        <v>-34737.300000000047</v>
      </c>
      <c r="O16" s="138">
        <f t="shared" si="2"/>
        <v>170306.70000000019</v>
      </c>
      <c r="P16" s="117"/>
      <c r="W16" s="107"/>
    </row>
    <row r="17" spans="2:27" x14ac:dyDescent="0.75">
      <c r="B17" s="131"/>
      <c r="C17" s="138"/>
      <c r="D17" s="150">
        <f t="shared" ref="D17:O17" si="3">(D14-C14)/C14</f>
        <v>-7.1626235460199611E-2</v>
      </c>
      <c r="E17" s="148">
        <f t="shared" si="3"/>
        <v>-7.7152369224592524E-2</v>
      </c>
      <c r="F17" s="148">
        <f t="shared" si="3"/>
        <v>-9.5237548626640658E-3</v>
      </c>
      <c r="G17" s="139">
        <f t="shared" si="3"/>
        <v>-2.2803370838603228E-2</v>
      </c>
      <c r="H17" s="148">
        <f t="shared" si="3"/>
        <v>-3.0484250899068314E-4</v>
      </c>
      <c r="I17" s="148">
        <f t="shared" si="3"/>
        <v>-1.4384214733093728E-4</v>
      </c>
      <c r="J17" s="148">
        <f t="shared" si="3"/>
        <v>1.0739781288931494E-3</v>
      </c>
      <c r="K17" s="148">
        <f t="shared" si="3"/>
        <v>-2.3631751855024866E-2</v>
      </c>
      <c r="L17" s="148">
        <f t="shared" si="3"/>
        <v>-1.1720974121579443E-2</v>
      </c>
      <c r="M17" s="148">
        <f t="shared" si="3"/>
        <v>-2.5176231573835642E-3</v>
      </c>
      <c r="N17" s="148">
        <f t="shared" si="3"/>
        <v>-1.7823257125547078E-2</v>
      </c>
      <c r="O17" s="148">
        <f t="shared" si="3"/>
        <v>8.8967851062706174E-2</v>
      </c>
      <c r="P17" s="119"/>
      <c r="W17" s="107"/>
    </row>
    <row r="18" spans="2:27" x14ac:dyDescent="0.75">
      <c r="B18" s="131"/>
      <c r="C18" s="138"/>
      <c r="D18" s="150">
        <f t="shared" ref="D18:O18" si="4">D17*100</f>
        <v>-7.1626235460199608</v>
      </c>
      <c r="E18" s="148">
        <f t="shared" si="4"/>
        <v>-7.7152369224592521</v>
      </c>
      <c r="F18" s="148">
        <f t="shared" si="4"/>
        <v>-0.95237548626640656</v>
      </c>
      <c r="G18" s="148">
        <f t="shared" si="4"/>
        <v>-2.280337083860323</v>
      </c>
      <c r="H18" s="148">
        <f t="shared" si="4"/>
        <v>-3.0484250899068314E-2</v>
      </c>
      <c r="I18" s="148">
        <f t="shared" si="4"/>
        <v>-1.4384214733093727E-2</v>
      </c>
      <c r="J18" s="148">
        <f t="shared" si="4"/>
        <v>0.10739781288931494</v>
      </c>
      <c r="K18" s="148">
        <f t="shared" si="4"/>
        <v>-2.3631751855024867</v>
      </c>
      <c r="L18" s="148">
        <f t="shared" si="4"/>
        <v>-1.1720974121579444</v>
      </c>
      <c r="M18" s="148">
        <f t="shared" si="4"/>
        <v>-0.25176231573835639</v>
      </c>
      <c r="N18" s="148">
        <f t="shared" si="4"/>
        <v>-1.7823257125547078</v>
      </c>
      <c r="O18" s="148">
        <f t="shared" si="4"/>
        <v>8.8967851062706167</v>
      </c>
      <c r="P18" s="119"/>
      <c r="W18" s="107"/>
    </row>
    <row r="19" spans="2:27" x14ac:dyDescent="0.75">
      <c r="B19" s="132" t="s">
        <v>112</v>
      </c>
      <c r="C19" s="144"/>
      <c r="D19" s="15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13"/>
    </row>
    <row r="20" spans="2:27" x14ac:dyDescent="0.75">
      <c r="B20" s="130" t="s">
        <v>34</v>
      </c>
      <c r="C20" s="136">
        <v>71945.899999999994</v>
      </c>
      <c r="D20" s="136">
        <v>124194.45</v>
      </c>
      <c r="E20" s="136">
        <v>176443</v>
      </c>
      <c r="F20" s="136">
        <v>177229</v>
      </c>
      <c r="G20" s="136">
        <v>178032</v>
      </c>
      <c r="H20" s="136">
        <v>178463</v>
      </c>
      <c r="I20" s="136">
        <v>177262</v>
      </c>
      <c r="J20" s="136">
        <v>174273</v>
      </c>
      <c r="K20" s="136">
        <v>169262</v>
      </c>
      <c r="L20" s="136">
        <v>166111</v>
      </c>
      <c r="M20" s="136">
        <v>170801</v>
      </c>
      <c r="N20" s="136">
        <v>169656</v>
      </c>
      <c r="O20" s="136">
        <v>129465</v>
      </c>
      <c r="P20" s="115"/>
    </row>
    <row r="21" spans="2:27" x14ac:dyDescent="0.75">
      <c r="B21" s="130" t="s">
        <v>66</v>
      </c>
      <c r="C21" s="136">
        <v>0</v>
      </c>
      <c r="D21" s="136">
        <v>0</v>
      </c>
      <c r="E21" s="136">
        <v>0</v>
      </c>
      <c r="F21" s="136">
        <v>101.02200000000001</v>
      </c>
      <c r="G21" s="136">
        <v>101.02200000000001</v>
      </c>
      <c r="H21" s="136">
        <v>101.02200000000001</v>
      </c>
      <c r="I21" s="136">
        <v>1533.15</v>
      </c>
      <c r="J21" s="136">
        <v>16535</v>
      </c>
      <c r="K21" s="136">
        <v>19885</v>
      </c>
      <c r="L21" s="136">
        <v>27397.200000000001</v>
      </c>
      <c r="M21" s="136">
        <v>53856.800000000003</v>
      </c>
      <c r="N21" s="136">
        <v>80231.399999999994</v>
      </c>
      <c r="O21" s="136">
        <v>94358.6</v>
      </c>
      <c r="P21" s="115"/>
    </row>
    <row r="22" spans="2:27" x14ac:dyDescent="0.75">
      <c r="B22" s="130" t="s">
        <v>36</v>
      </c>
      <c r="C22" s="136">
        <v>3159.73</v>
      </c>
      <c r="D22" s="136">
        <v>3365.5749999999998</v>
      </c>
      <c r="E22" s="136">
        <v>3571.42</v>
      </c>
      <c r="F22" s="136">
        <v>3667.19</v>
      </c>
      <c r="G22" s="136">
        <v>3890.97</v>
      </c>
      <c r="H22" s="136">
        <v>3890.97</v>
      </c>
      <c r="I22" s="136">
        <v>3890.97</v>
      </c>
      <c r="J22" s="136">
        <v>3916.67</v>
      </c>
      <c r="K22" s="136">
        <v>3653.09</v>
      </c>
      <c r="L22" s="136">
        <v>3878.1</v>
      </c>
      <c r="M22" s="136">
        <v>3480.02</v>
      </c>
      <c r="N22" s="136">
        <v>7216.4</v>
      </c>
      <c r="O22" s="136">
        <v>7089.96</v>
      </c>
      <c r="P22" s="115"/>
    </row>
    <row r="23" spans="2:27" x14ac:dyDescent="0.75">
      <c r="B23" s="130" t="s">
        <v>38</v>
      </c>
      <c r="C23" s="136">
        <v>81713.600000000006</v>
      </c>
      <c r="D23" s="136">
        <v>51759.350000000006</v>
      </c>
      <c r="E23" s="136">
        <v>21805.1</v>
      </c>
      <c r="F23" s="136">
        <v>21805.1</v>
      </c>
      <c r="G23" s="136">
        <v>21853.200000000001</v>
      </c>
      <c r="H23" s="136">
        <v>21853.200000000001</v>
      </c>
      <c r="I23" s="136">
        <v>21912.9</v>
      </c>
      <c r="J23" s="136">
        <v>23500.799999999999</v>
      </c>
      <c r="K23" s="136">
        <v>263859</v>
      </c>
      <c r="L23" s="136">
        <v>75080.7</v>
      </c>
      <c r="M23" s="136">
        <v>56539</v>
      </c>
      <c r="N23" s="136">
        <v>77994.3</v>
      </c>
      <c r="O23" s="136">
        <v>88946.1</v>
      </c>
      <c r="P23" s="115"/>
    </row>
    <row r="24" spans="2:27" x14ac:dyDescent="0.75">
      <c r="B24" s="130" t="s">
        <v>40</v>
      </c>
      <c r="C24" s="136">
        <v>763.64700000000005</v>
      </c>
      <c r="D24" s="136">
        <v>763.64700000000005</v>
      </c>
      <c r="E24" s="136">
        <v>763.64700000000005</v>
      </c>
      <c r="F24" s="136">
        <v>763.64700000000005</v>
      </c>
      <c r="G24" s="136">
        <v>763.64700000000005</v>
      </c>
      <c r="H24" s="136">
        <v>763.64700000000005</v>
      </c>
      <c r="I24" s="136">
        <v>763.64700000000005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15"/>
    </row>
    <row r="25" spans="2:27" x14ac:dyDescent="0.75">
      <c r="B25" s="130" t="s">
        <v>42</v>
      </c>
      <c r="C25" s="136">
        <v>471693</v>
      </c>
      <c r="D25" s="136">
        <v>549086.5</v>
      </c>
      <c r="E25" s="136">
        <v>626480</v>
      </c>
      <c r="F25" s="136">
        <v>646258</v>
      </c>
      <c r="G25" s="136">
        <v>655175</v>
      </c>
      <c r="H25" s="136">
        <v>704034</v>
      </c>
      <c r="I25" s="136">
        <v>704044</v>
      </c>
      <c r="J25" s="136">
        <v>708703</v>
      </c>
      <c r="K25" s="136">
        <v>568723</v>
      </c>
      <c r="L25" s="136">
        <v>700156</v>
      </c>
      <c r="M25" s="136">
        <v>603422</v>
      </c>
      <c r="N25" s="136">
        <v>576528</v>
      </c>
      <c r="O25" s="136">
        <v>555274</v>
      </c>
      <c r="P25" s="115"/>
    </row>
    <row r="26" spans="2:27" x14ac:dyDescent="0.75">
      <c r="B26" s="130" t="s">
        <v>44</v>
      </c>
      <c r="C26" s="136">
        <v>352031.11899999995</v>
      </c>
      <c r="D26" s="136">
        <v>352012.17400000058</v>
      </c>
      <c r="E26" s="136">
        <v>351993.22899999935</v>
      </c>
      <c r="F26" s="136">
        <v>351992.03699999955</v>
      </c>
      <c r="G26" s="136">
        <v>351994.55700000003</v>
      </c>
      <c r="H26" s="136">
        <v>351993.95699999947</v>
      </c>
      <c r="I26" s="136">
        <v>351993.82899999991</v>
      </c>
      <c r="J26" s="136">
        <v>322264.42600000091</v>
      </c>
      <c r="K26" s="136">
        <v>322282.10600000061</v>
      </c>
      <c r="L26" s="136">
        <v>351749.49600000028</v>
      </c>
      <c r="M26" s="136">
        <v>351734.07599999942</v>
      </c>
      <c r="N26" s="136">
        <v>349815.73299999943</v>
      </c>
      <c r="O26" s="136">
        <v>349883.96779999975</v>
      </c>
      <c r="P26" s="115"/>
      <c r="Y26" t="s">
        <v>1</v>
      </c>
    </row>
    <row r="27" spans="2:27" x14ac:dyDescent="0.75">
      <c r="B27" s="130" t="s">
        <v>50</v>
      </c>
      <c r="C27" s="137">
        <v>930069</v>
      </c>
      <c r="D27" s="137">
        <v>931437.5</v>
      </c>
      <c r="E27" s="137">
        <v>932806</v>
      </c>
      <c r="F27" s="137">
        <v>929360</v>
      </c>
      <c r="G27" s="137">
        <v>949786</v>
      </c>
      <c r="H27" s="137">
        <v>900908</v>
      </c>
      <c r="I27" s="137">
        <v>900838</v>
      </c>
      <c r="J27" s="137">
        <v>906111</v>
      </c>
      <c r="K27" s="137">
        <v>860813</v>
      </c>
      <c r="L27" s="137">
        <v>917482</v>
      </c>
      <c r="M27" s="137">
        <v>969770</v>
      </c>
      <c r="N27" s="137">
        <v>978818</v>
      </c>
      <c r="O27" s="137">
        <v>942998</v>
      </c>
      <c r="P27" s="116"/>
      <c r="Y27" t="s">
        <v>24</v>
      </c>
      <c r="Z27" s="76">
        <v>4851715</v>
      </c>
      <c r="AA27" s="12"/>
    </row>
    <row r="28" spans="2:27" x14ac:dyDescent="0.75">
      <c r="B28" s="130" t="s">
        <v>52</v>
      </c>
      <c r="C28" s="137">
        <v>14377</v>
      </c>
      <c r="D28" s="137">
        <v>15367.6</v>
      </c>
      <c r="E28" s="137">
        <v>16358.2</v>
      </c>
      <c r="F28" s="137">
        <v>16721.900000000001</v>
      </c>
      <c r="G28" s="137">
        <v>16803.3</v>
      </c>
      <c r="H28" s="137">
        <v>16880.2</v>
      </c>
      <c r="I28" s="137">
        <v>16880.2</v>
      </c>
      <c r="J28" s="137">
        <v>17184</v>
      </c>
      <c r="K28" s="137">
        <v>16395.8</v>
      </c>
      <c r="L28" s="137">
        <v>17071.599999999999</v>
      </c>
      <c r="M28" s="137">
        <v>16376.6</v>
      </c>
      <c r="N28" s="137">
        <v>18278.400000000001</v>
      </c>
      <c r="O28" s="137">
        <v>21670.799999999999</v>
      </c>
      <c r="P28" s="116"/>
    </row>
    <row r="29" spans="2:27" x14ac:dyDescent="0.75">
      <c r="B29" s="130" t="s">
        <v>54</v>
      </c>
      <c r="C29" s="137">
        <v>43462.3</v>
      </c>
      <c r="D29" s="137">
        <v>49012.800000000003</v>
      </c>
      <c r="E29" s="137">
        <v>54563.3</v>
      </c>
      <c r="F29" s="137">
        <v>54563.3</v>
      </c>
      <c r="G29" s="137">
        <v>65249.9</v>
      </c>
      <c r="H29" s="137">
        <v>65378.5</v>
      </c>
      <c r="I29" s="137">
        <v>65378.5</v>
      </c>
      <c r="J29" s="137">
        <v>65760.399999999994</v>
      </c>
      <c r="K29" s="137">
        <v>62139.3</v>
      </c>
      <c r="L29" s="137">
        <v>65070.9</v>
      </c>
      <c r="M29" s="137">
        <v>65343.8</v>
      </c>
      <c r="N29" s="137">
        <v>70691.7</v>
      </c>
      <c r="O29" s="137">
        <v>68599.7</v>
      </c>
      <c r="P29" s="116"/>
    </row>
    <row r="30" spans="2:27" x14ac:dyDescent="0.75">
      <c r="B30" s="130" t="s">
        <v>115</v>
      </c>
      <c r="C30" s="137">
        <v>10931.7</v>
      </c>
      <c r="D30" s="137">
        <v>10931.7</v>
      </c>
      <c r="E30" s="137">
        <v>10931.7</v>
      </c>
      <c r="F30" s="137">
        <v>10931.7</v>
      </c>
      <c r="G30" s="137">
        <v>10973.6</v>
      </c>
      <c r="H30" s="137">
        <v>10973.6</v>
      </c>
      <c r="I30" s="137">
        <v>11043.9</v>
      </c>
      <c r="J30" s="137">
        <v>11463.2</v>
      </c>
      <c r="K30" s="137">
        <v>11458.9</v>
      </c>
      <c r="L30" s="137">
        <v>11388.1</v>
      </c>
      <c r="M30" s="137">
        <v>11388.1</v>
      </c>
      <c r="N30" s="137">
        <v>48795.199999999997</v>
      </c>
      <c r="O30" s="137">
        <v>45504.6</v>
      </c>
      <c r="P30" s="116"/>
    </row>
    <row r="31" spans="2:27" x14ac:dyDescent="0.75">
      <c r="B31" s="130" t="s">
        <v>68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448.15699999999998</v>
      </c>
      <c r="O31" s="137">
        <v>79.672200000000004</v>
      </c>
      <c r="P31" s="116"/>
    </row>
    <row r="32" spans="2:27" x14ac:dyDescent="0.75">
      <c r="B32" s="130" t="s">
        <v>58</v>
      </c>
      <c r="C32" s="137">
        <v>158.70400000000001</v>
      </c>
      <c r="D32" s="137">
        <v>158.70400000000001</v>
      </c>
      <c r="E32" s="137">
        <v>158.70400000000001</v>
      </c>
      <c r="F32" s="137">
        <v>158.70400000000001</v>
      </c>
      <c r="G32" s="137">
        <v>158.70400000000001</v>
      </c>
      <c r="H32" s="137">
        <v>158.70400000000001</v>
      </c>
      <c r="I32" s="137">
        <v>158.70400000000001</v>
      </c>
      <c r="J32" s="137">
        <v>158.70400000000001</v>
      </c>
      <c r="K32" s="137">
        <v>158.70400000000001</v>
      </c>
      <c r="L32" s="137">
        <v>158.70400000000001</v>
      </c>
      <c r="M32" s="137">
        <v>158.70400000000001</v>
      </c>
      <c r="N32" s="137">
        <v>175.21</v>
      </c>
      <c r="O32" s="137">
        <v>175</v>
      </c>
      <c r="P32" s="116"/>
    </row>
    <row r="33" spans="2:50" x14ac:dyDescent="0.75">
      <c r="B33" s="130" t="s">
        <v>60</v>
      </c>
      <c r="C33" s="137">
        <v>36638</v>
      </c>
      <c r="D33" s="137">
        <v>41429.599999999999</v>
      </c>
      <c r="E33" s="137">
        <v>46221.2</v>
      </c>
      <c r="F33" s="137">
        <v>46221.2</v>
      </c>
      <c r="G33" s="137">
        <v>46221.2</v>
      </c>
      <c r="H33" s="137">
        <v>46221.2</v>
      </c>
      <c r="I33" s="137">
        <v>46221.2</v>
      </c>
      <c r="J33" s="137">
        <v>46440.4</v>
      </c>
      <c r="K33" s="137">
        <v>46440.4</v>
      </c>
      <c r="L33" s="137">
        <v>46151.8</v>
      </c>
      <c r="M33" s="137">
        <v>45503.7</v>
      </c>
      <c r="N33" s="137">
        <v>26525.599999999999</v>
      </c>
      <c r="O33" s="137">
        <v>25575</v>
      </c>
      <c r="P33" s="116"/>
    </row>
    <row r="34" spans="2:50" x14ac:dyDescent="0.75">
      <c r="B34" s="130" t="s">
        <v>62</v>
      </c>
      <c r="C34" s="137">
        <v>394375</v>
      </c>
      <c r="D34" s="137">
        <v>456595.5</v>
      </c>
      <c r="E34" s="137">
        <v>518816</v>
      </c>
      <c r="F34" s="137">
        <v>521051</v>
      </c>
      <c r="G34" s="137">
        <v>527044</v>
      </c>
      <c r="H34" s="137">
        <v>527044</v>
      </c>
      <c r="I34" s="137">
        <v>527034</v>
      </c>
      <c r="J34" s="137">
        <v>530472</v>
      </c>
      <c r="K34" s="137">
        <v>529565</v>
      </c>
      <c r="L34" s="137">
        <v>516113</v>
      </c>
      <c r="M34" s="137">
        <v>554354</v>
      </c>
      <c r="N34" s="137">
        <v>532291</v>
      </c>
      <c r="O34" s="137">
        <v>437538</v>
      </c>
      <c r="P34" s="116"/>
    </row>
    <row r="35" spans="2:50" x14ac:dyDescent="0.75">
      <c r="B35" s="132" t="s">
        <v>116</v>
      </c>
      <c r="C35" s="138">
        <f>SUM(C20:C34)</f>
        <v>2411318.6999999997</v>
      </c>
      <c r="D35" s="138">
        <f t="shared" ref="D35:O35" si="5">SUM(D20:D34)</f>
        <v>2586115.1000000006</v>
      </c>
      <c r="E35" s="138">
        <f t="shared" si="5"/>
        <v>2760911.4999999995</v>
      </c>
      <c r="F35" s="138">
        <f t="shared" si="5"/>
        <v>2780823.7999999993</v>
      </c>
      <c r="G35" s="138">
        <f t="shared" si="5"/>
        <v>2828047.1</v>
      </c>
      <c r="H35" s="138">
        <f t="shared" si="5"/>
        <v>2828664</v>
      </c>
      <c r="I35" s="138">
        <f t="shared" si="5"/>
        <v>2828955</v>
      </c>
      <c r="J35" s="138">
        <f t="shared" si="5"/>
        <v>2826782.6000000006</v>
      </c>
      <c r="K35" s="138">
        <f t="shared" si="5"/>
        <v>2874635.3</v>
      </c>
      <c r="L35" s="138">
        <f t="shared" si="5"/>
        <v>2897808.6</v>
      </c>
      <c r="M35" s="138">
        <f t="shared" si="5"/>
        <v>2902727.7999999993</v>
      </c>
      <c r="N35" s="138">
        <f t="shared" si="5"/>
        <v>2937465.1</v>
      </c>
      <c r="O35" s="138">
        <f t="shared" si="5"/>
        <v>2767158.4</v>
      </c>
      <c r="P35" s="117"/>
    </row>
    <row r="36" spans="2:50" x14ac:dyDescent="0.75">
      <c r="B36" s="133" t="s">
        <v>118</v>
      </c>
      <c r="C36" s="140">
        <f t="shared" ref="C36:O36" si="6">(C35/(C14+C35))*100</f>
        <v>49.70033689118177</v>
      </c>
      <c r="D36" s="140">
        <f t="shared" si="6"/>
        <v>53.30311240458272</v>
      </c>
      <c r="E36" s="140">
        <f t="shared" si="6"/>
        <v>56.905887917983634</v>
      </c>
      <c r="F36" s="140">
        <f t="shared" si="6"/>
        <v>57.316305677476933</v>
      </c>
      <c r="G36" s="140">
        <f t="shared" si="6"/>
        <v>58.289637787875016</v>
      </c>
      <c r="H36" s="140">
        <f t="shared" si="6"/>
        <v>58.302352879342664</v>
      </c>
      <c r="I36" s="140">
        <f t="shared" si="6"/>
        <v>58.308350758443147</v>
      </c>
      <c r="J36" s="140">
        <f t="shared" si="6"/>
        <v>58.263574839000242</v>
      </c>
      <c r="K36" s="140">
        <f t="shared" si="6"/>
        <v>59.249879681720785</v>
      </c>
      <c r="L36" s="140">
        <f t="shared" si="6"/>
        <v>59.727510787422588</v>
      </c>
      <c r="M36" s="140">
        <f t="shared" si="6"/>
        <v>59.828901738869654</v>
      </c>
      <c r="N36" s="140">
        <f t="shared" si="6"/>
        <v>60.544881552193395</v>
      </c>
      <c r="O36" s="140">
        <f t="shared" si="6"/>
        <v>57.034644450467511</v>
      </c>
      <c r="P36" s="120"/>
    </row>
    <row r="37" spans="2:50" x14ac:dyDescent="0.75">
      <c r="B37" s="133" t="s">
        <v>119</v>
      </c>
      <c r="C37" s="126"/>
      <c r="D37" s="138">
        <f>D35-C35</f>
        <v>174796.40000000084</v>
      </c>
      <c r="E37" s="138">
        <f t="shared" ref="E37:O37" si="7">E35-D35</f>
        <v>174796.39999999898</v>
      </c>
      <c r="F37" s="138">
        <f t="shared" si="7"/>
        <v>19912.299999999814</v>
      </c>
      <c r="G37" s="138">
        <f t="shared" si="7"/>
        <v>47223.300000000745</v>
      </c>
      <c r="H37" s="138">
        <f t="shared" si="7"/>
        <v>616.89999999990687</v>
      </c>
      <c r="I37" s="138">
        <f t="shared" si="7"/>
        <v>291</v>
      </c>
      <c r="J37" s="138">
        <f t="shared" si="7"/>
        <v>-2172.3999999994412</v>
      </c>
      <c r="K37" s="138">
        <f t="shared" si="7"/>
        <v>47852.699999999255</v>
      </c>
      <c r="L37" s="138">
        <f t="shared" si="7"/>
        <v>23173.300000000279</v>
      </c>
      <c r="M37" s="138">
        <f t="shared" si="7"/>
        <v>4919.1999999992549</v>
      </c>
      <c r="N37" s="138">
        <f t="shared" si="7"/>
        <v>34737.300000000745</v>
      </c>
      <c r="O37" s="138">
        <f t="shared" si="7"/>
        <v>-170306.70000000019</v>
      </c>
      <c r="P37" s="117"/>
    </row>
    <row r="38" spans="2:50" x14ac:dyDescent="0.75">
      <c r="D38" s="149">
        <f t="shared" ref="D38:O38" si="8">(D35-C35)/C35</f>
        <v>7.2489961613121004E-2</v>
      </c>
      <c r="E38" s="149">
        <f t="shared" si="8"/>
        <v>6.7590340429936363E-2</v>
      </c>
      <c r="F38" s="149">
        <f t="shared" si="8"/>
        <v>7.212219587625252E-3</v>
      </c>
      <c r="G38" s="149">
        <f t="shared" si="8"/>
        <v>1.6981766338450052E-2</v>
      </c>
      <c r="H38" s="149">
        <f t="shared" si="8"/>
        <v>2.1813639525307299E-4</v>
      </c>
      <c r="I38" s="149">
        <f t="shared" si="8"/>
        <v>1.0287542104682634E-4</v>
      </c>
      <c r="J38" s="149">
        <f t="shared" si="8"/>
        <v>-7.6791606794715409E-4</v>
      </c>
      <c r="K38" s="149">
        <f t="shared" si="8"/>
        <v>1.6928326925459088E-2</v>
      </c>
      <c r="L38" s="149">
        <f t="shared" si="8"/>
        <v>8.061300854407611E-3</v>
      </c>
      <c r="M38" s="149">
        <f t="shared" si="8"/>
        <v>1.6975586310287211E-3</v>
      </c>
      <c r="N38" s="149">
        <f t="shared" si="8"/>
        <v>1.1967122787055938E-2</v>
      </c>
      <c r="O38" s="149">
        <f t="shared" si="8"/>
        <v>-5.7977437757473334E-2</v>
      </c>
      <c r="P38" s="98"/>
    </row>
    <row r="39" spans="2:50" x14ac:dyDescent="0.75">
      <c r="D39" s="149">
        <f t="shared" ref="D39:O39" si="9">D38*100</f>
        <v>7.2489961613121006</v>
      </c>
      <c r="E39" s="149">
        <f t="shared" si="9"/>
        <v>6.759034042993636</v>
      </c>
      <c r="F39" s="149">
        <f t="shared" si="9"/>
        <v>0.72122195876252515</v>
      </c>
      <c r="G39" s="149">
        <f t="shared" si="9"/>
        <v>1.6981766338450051</v>
      </c>
      <c r="H39" s="149">
        <f t="shared" si="9"/>
        <v>2.18136395253073E-2</v>
      </c>
      <c r="I39" s="149">
        <f t="shared" si="9"/>
        <v>1.0287542104682634E-2</v>
      </c>
      <c r="J39" s="149">
        <f t="shared" si="9"/>
        <v>-7.6791606794715403E-2</v>
      </c>
      <c r="K39" s="149">
        <f t="shared" si="9"/>
        <v>1.6928326925459087</v>
      </c>
      <c r="L39" s="149">
        <f t="shared" si="9"/>
        <v>0.80613008544076115</v>
      </c>
      <c r="M39" s="149">
        <f t="shared" si="9"/>
        <v>0.16975586310287211</v>
      </c>
      <c r="N39" s="149">
        <f t="shared" si="9"/>
        <v>1.1967122787055937</v>
      </c>
      <c r="O39" s="149">
        <f t="shared" si="9"/>
        <v>-5.7977437757473336</v>
      </c>
      <c r="P39" s="98"/>
    </row>
    <row r="40" spans="2:50" x14ac:dyDescent="0.75">
      <c r="W40">
        <v>8228.2900000000009</v>
      </c>
    </row>
    <row r="41" spans="2:50" s="96" customFormat="1" ht="13.25" x14ac:dyDescent="0.65">
      <c r="B41" s="124" t="s">
        <v>120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</row>
    <row r="42" spans="2:50" x14ac:dyDescent="0.75">
      <c r="B42" s="124" t="s">
        <v>122</v>
      </c>
    </row>
    <row r="43" spans="2:50" x14ac:dyDescent="0.75">
      <c r="B43" s="198" t="s">
        <v>110</v>
      </c>
      <c r="C43" s="201" t="s">
        <v>113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4"/>
      <c r="P43" s="121" t="s">
        <v>132</v>
      </c>
      <c r="Q43" s="179" t="s">
        <v>126</v>
      </c>
      <c r="R43" s="180"/>
      <c r="S43" s="181"/>
      <c r="T43" s="175" t="s">
        <v>123</v>
      </c>
      <c r="U43" s="176"/>
      <c r="V43" s="100"/>
    </row>
    <row r="44" spans="2:50" x14ac:dyDescent="0.75">
      <c r="B44" s="199"/>
      <c r="C44" s="134">
        <v>1990</v>
      </c>
      <c r="D44" s="147">
        <v>1996</v>
      </c>
      <c r="E44" s="147">
        <v>2000</v>
      </c>
      <c r="F44" s="147">
        <v>2003</v>
      </c>
      <c r="G44" s="147">
        <v>2006</v>
      </c>
      <c r="H44" s="147">
        <v>2009</v>
      </c>
      <c r="I44" s="147">
        <v>2011</v>
      </c>
      <c r="J44" s="147">
        <v>2014</v>
      </c>
      <c r="K44" s="147">
        <v>2015</v>
      </c>
      <c r="L44" s="147">
        <v>2016</v>
      </c>
      <c r="M44" s="147">
        <v>2017</v>
      </c>
      <c r="N44" s="147">
        <v>2018</v>
      </c>
      <c r="O44" s="151">
        <v>2019</v>
      </c>
      <c r="P44" s="112" t="s">
        <v>133</v>
      </c>
      <c r="Q44" s="182"/>
      <c r="R44" s="183"/>
      <c r="S44" s="184"/>
      <c r="T44" s="177"/>
      <c r="U44" s="178"/>
      <c r="V44" s="100"/>
    </row>
    <row r="45" spans="2:50" x14ac:dyDescent="0.75">
      <c r="B45" s="200"/>
      <c r="C45" s="135" t="s">
        <v>114</v>
      </c>
      <c r="D45" s="135" t="s">
        <v>114</v>
      </c>
      <c r="E45" s="135" t="s">
        <v>114</v>
      </c>
      <c r="F45" s="135" t="s">
        <v>114</v>
      </c>
      <c r="G45" s="135" t="s">
        <v>114</v>
      </c>
      <c r="H45" s="135" t="s">
        <v>114</v>
      </c>
      <c r="I45" s="135" t="s">
        <v>114</v>
      </c>
      <c r="J45" s="135" t="s">
        <v>114</v>
      </c>
      <c r="K45" s="135" t="s">
        <v>114</v>
      </c>
      <c r="L45" s="135" t="s">
        <v>114</v>
      </c>
      <c r="M45" s="135" t="s">
        <v>114</v>
      </c>
      <c r="N45" s="135" t="s">
        <v>114</v>
      </c>
      <c r="O45" s="135" t="s">
        <v>114</v>
      </c>
      <c r="P45" s="122" t="s">
        <v>114</v>
      </c>
      <c r="Q45" s="90" t="s">
        <v>127</v>
      </c>
      <c r="R45" s="75" t="s">
        <v>128</v>
      </c>
      <c r="S45" s="91" t="s">
        <v>129</v>
      </c>
      <c r="T45" s="85" t="s">
        <v>124</v>
      </c>
      <c r="U45" s="75" t="s">
        <v>125</v>
      </c>
      <c r="V45" s="99"/>
      <c r="W45" s="75" t="s">
        <v>130</v>
      </c>
      <c r="X45" s="99"/>
    </row>
    <row r="46" spans="2:50" x14ac:dyDescent="0.75">
      <c r="B46" s="130" t="s">
        <v>26</v>
      </c>
      <c r="C46" s="146">
        <v>694737</v>
      </c>
      <c r="D46" s="146">
        <v>664756.5</v>
      </c>
      <c r="E46" s="146">
        <v>634776</v>
      </c>
      <c r="F46" s="146">
        <v>619004</v>
      </c>
      <c r="G46" s="146">
        <v>598828</v>
      </c>
      <c r="H46" s="146">
        <v>553728</v>
      </c>
      <c r="I46" s="146">
        <v>553098</v>
      </c>
      <c r="J46" s="146">
        <v>543670</v>
      </c>
      <c r="K46" s="146">
        <v>529715</v>
      </c>
      <c r="L46" s="146">
        <v>522977</v>
      </c>
      <c r="M46" s="146">
        <v>519144</v>
      </c>
      <c r="N46" s="146">
        <v>401879</v>
      </c>
      <c r="O46" s="155">
        <v>500359</v>
      </c>
      <c r="P46" s="123">
        <f>SUM(C46:O46)</f>
        <v>7336671.5</v>
      </c>
      <c r="Q46" s="92">
        <f>AP46</f>
        <v>8206.6666666666661</v>
      </c>
      <c r="R46" s="79">
        <f>ABS(AO46)</f>
        <v>24404.833333333332</v>
      </c>
      <c r="S46" s="93">
        <f>Q46-R46</f>
        <v>-16198.166666666666</v>
      </c>
      <c r="T46" s="86">
        <f>S46*12</f>
        <v>-194378</v>
      </c>
      <c r="U46" s="83">
        <f t="shared" ref="U46:U66" si="10">100*T46/C46</f>
        <v>-27.978645156368525</v>
      </c>
      <c r="V46" s="101"/>
      <c r="W46" s="98">
        <f t="shared" ref="W46:W66" si="11">100*T46/SUM($C$46:$C$66)</f>
        <v>-4.0063771264387951</v>
      </c>
      <c r="X46" s="98"/>
      <c r="Y46" s="78">
        <f t="shared" ref="Y46:AJ66" si="12">D46-C46</f>
        <v>-29980.5</v>
      </c>
      <c r="Z46" s="78">
        <f t="shared" si="12"/>
        <v>-29980.5</v>
      </c>
      <c r="AA46" s="78">
        <f t="shared" si="12"/>
        <v>-15772</v>
      </c>
      <c r="AB46" s="78">
        <f t="shared" si="12"/>
        <v>-20176</v>
      </c>
      <c r="AC46" s="78">
        <f t="shared" si="12"/>
        <v>-45100</v>
      </c>
      <c r="AD46" s="78">
        <f t="shared" si="12"/>
        <v>-630</v>
      </c>
      <c r="AE46" s="78">
        <f t="shared" si="12"/>
        <v>-9428</v>
      </c>
      <c r="AF46" s="78">
        <f t="shared" si="12"/>
        <v>-13955</v>
      </c>
      <c r="AG46" s="78">
        <f t="shared" si="12"/>
        <v>-6738</v>
      </c>
      <c r="AH46" s="78">
        <f t="shared" si="12"/>
        <v>-3833</v>
      </c>
      <c r="AI46" s="78">
        <f t="shared" si="12"/>
        <v>-117265</v>
      </c>
      <c r="AJ46" s="78">
        <f t="shared" si="12"/>
        <v>98480</v>
      </c>
      <c r="AK46" s="78">
        <f t="shared" ref="AK46:AK65" si="13">SUMIF(Y46:AJ46,"&lt;0")</f>
        <v>-292858</v>
      </c>
      <c r="AL46" s="78">
        <f t="shared" ref="AL46:AL65" si="14">SUMIF(Y46:AJ46,"&gt;0")</f>
        <v>98480</v>
      </c>
      <c r="AM46" s="78">
        <f t="shared" ref="AM46:AM66" si="15">AK46+AL46-(O46-C46)</f>
        <v>0</v>
      </c>
      <c r="AN46" s="78"/>
      <c r="AO46" s="78">
        <f>AK46/12</f>
        <v>-24404.833333333332</v>
      </c>
      <c r="AP46" s="78">
        <f>AL46/12</f>
        <v>8206.6666666666661</v>
      </c>
      <c r="AQ46" s="82">
        <f>AO46+AP46</f>
        <v>-16198.166666666666</v>
      </c>
      <c r="AR46" s="82">
        <f t="shared" ref="AR46:AR66" si="16">((O46-C46)/12)-AQ46</f>
        <v>0</v>
      </c>
      <c r="AT46" s="82"/>
      <c r="AU46" s="82"/>
      <c r="AV46" s="82"/>
      <c r="AW46" s="82"/>
      <c r="AX46" s="82"/>
    </row>
    <row r="47" spans="2:50" x14ac:dyDescent="0.75">
      <c r="B47" s="130" t="s">
        <v>28</v>
      </c>
      <c r="C47" s="146">
        <v>638049</v>
      </c>
      <c r="D47" s="146">
        <v>620772.5</v>
      </c>
      <c r="E47" s="146">
        <v>603496</v>
      </c>
      <c r="F47" s="146">
        <v>618381</v>
      </c>
      <c r="G47" s="146">
        <v>627494</v>
      </c>
      <c r="H47" s="146">
        <v>672086</v>
      </c>
      <c r="I47" s="146">
        <v>672425</v>
      </c>
      <c r="J47" s="146">
        <v>678803</v>
      </c>
      <c r="K47" s="146">
        <v>664888</v>
      </c>
      <c r="L47" s="146">
        <v>654663</v>
      </c>
      <c r="M47" s="146">
        <v>652518</v>
      </c>
      <c r="N47" s="146">
        <v>732934</v>
      </c>
      <c r="O47" s="155">
        <v>631295</v>
      </c>
      <c r="P47" s="123">
        <f t="shared" ref="P47:P66" si="17">SUM(C47:O47)</f>
        <v>8467804.5</v>
      </c>
      <c r="Q47" s="92">
        <f t="shared" ref="Q47:Q66" si="18">AP47</f>
        <v>12976.916666666666</v>
      </c>
      <c r="R47" s="79">
        <f t="shared" ref="R47:R66" si="19">ABS(AO47)</f>
        <v>13539.75</v>
      </c>
      <c r="S47" s="93">
        <f t="shared" ref="S47:S66" si="20">Q47-R47</f>
        <v>-562.83333333333394</v>
      </c>
      <c r="T47" s="86">
        <f t="shared" ref="T47:T66" si="21">S47*12</f>
        <v>-6754.0000000000073</v>
      </c>
      <c r="U47" s="83">
        <f t="shared" si="10"/>
        <v>-1.0585393911752869</v>
      </c>
      <c r="V47" s="101"/>
      <c r="W47" s="98">
        <f t="shared" si="11"/>
        <v>-0.13920850668268864</v>
      </c>
      <c r="X47" s="98"/>
      <c r="Y47" s="78">
        <f t="shared" si="12"/>
        <v>-17276.5</v>
      </c>
      <c r="Z47" s="78">
        <f t="shared" si="12"/>
        <v>-17276.5</v>
      </c>
      <c r="AA47" s="78">
        <f t="shared" si="12"/>
        <v>14885</v>
      </c>
      <c r="AB47" s="78">
        <f t="shared" si="12"/>
        <v>9113</v>
      </c>
      <c r="AC47" s="78">
        <f t="shared" si="12"/>
        <v>44592</v>
      </c>
      <c r="AD47" s="78">
        <f t="shared" si="12"/>
        <v>339</v>
      </c>
      <c r="AE47" s="78">
        <f t="shared" si="12"/>
        <v>6378</v>
      </c>
      <c r="AF47" s="78">
        <f t="shared" si="12"/>
        <v>-13915</v>
      </c>
      <c r="AG47" s="78">
        <f t="shared" si="12"/>
        <v>-10225</v>
      </c>
      <c r="AH47" s="78">
        <f t="shared" si="12"/>
        <v>-2145</v>
      </c>
      <c r="AI47" s="78">
        <f t="shared" si="12"/>
        <v>80416</v>
      </c>
      <c r="AJ47" s="78">
        <f t="shared" si="12"/>
        <v>-101639</v>
      </c>
      <c r="AK47" s="78">
        <f t="shared" si="13"/>
        <v>-162477</v>
      </c>
      <c r="AL47" s="78">
        <f t="shared" si="14"/>
        <v>155723</v>
      </c>
      <c r="AM47" s="78">
        <f t="shared" si="15"/>
        <v>0</v>
      </c>
      <c r="AN47" s="78"/>
      <c r="AO47" s="78">
        <f t="shared" ref="AO47:AP66" si="22">AK47/12</f>
        <v>-13539.75</v>
      </c>
      <c r="AP47" s="78">
        <f t="shared" si="22"/>
        <v>12976.916666666666</v>
      </c>
      <c r="AQ47" s="82">
        <f t="shared" ref="AQ47:AQ66" si="23">AO47+AP47</f>
        <v>-562.83333333333394</v>
      </c>
      <c r="AR47" s="82">
        <f t="shared" si="16"/>
        <v>0</v>
      </c>
      <c r="AT47" s="82"/>
      <c r="AU47" s="82"/>
      <c r="AV47" s="82"/>
      <c r="AW47" s="82"/>
      <c r="AX47" s="82"/>
    </row>
    <row r="48" spans="2:50" x14ac:dyDescent="0.75">
      <c r="B48" s="130" t="s">
        <v>30</v>
      </c>
      <c r="C48" s="141">
        <v>208727</v>
      </c>
      <c r="D48" s="141">
        <v>207345</v>
      </c>
      <c r="E48" s="141">
        <v>205963</v>
      </c>
      <c r="F48" s="141">
        <v>201768</v>
      </c>
      <c r="G48" s="141">
        <v>196510</v>
      </c>
      <c r="H48" s="141">
        <v>196510</v>
      </c>
      <c r="I48" s="141">
        <v>196510</v>
      </c>
      <c r="J48" s="141">
        <v>197808</v>
      </c>
      <c r="K48" s="141">
        <v>196758</v>
      </c>
      <c r="L48" s="141">
        <v>195162</v>
      </c>
      <c r="M48" s="141">
        <v>195007</v>
      </c>
      <c r="N48" s="141">
        <v>195660</v>
      </c>
      <c r="O48" s="152">
        <v>195384</v>
      </c>
      <c r="P48" s="123">
        <f t="shared" si="17"/>
        <v>2589112</v>
      </c>
      <c r="Q48" s="92">
        <f t="shared" si="18"/>
        <v>162.58333333333334</v>
      </c>
      <c r="R48" s="79">
        <f t="shared" si="19"/>
        <v>1274.5</v>
      </c>
      <c r="S48" s="93">
        <f t="shared" si="20"/>
        <v>-1111.9166666666667</v>
      </c>
      <c r="T48" s="86">
        <f t="shared" si="21"/>
        <v>-13343</v>
      </c>
      <c r="U48" s="83">
        <f t="shared" si="10"/>
        <v>-6.3925606174572529</v>
      </c>
      <c r="V48" s="101"/>
      <c r="W48" s="98">
        <f t="shared" si="11"/>
        <v>-0.27501615408159796</v>
      </c>
      <c r="X48" s="98"/>
      <c r="Y48" s="78">
        <f t="shared" si="12"/>
        <v>-1382</v>
      </c>
      <c r="Z48" s="78">
        <f t="shared" si="12"/>
        <v>-1382</v>
      </c>
      <c r="AA48" s="78">
        <f t="shared" si="12"/>
        <v>-4195</v>
      </c>
      <c r="AB48" s="78">
        <f t="shared" si="12"/>
        <v>-5258</v>
      </c>
      <c r="AC48" s="78">
        <f t="shared" si="12"/>
        <v>0</v>
      </c>
      <c r="AD48" s="78">
        <f t="shared" si="12"/>
        <v>0</v>
      </c>
      <c r="AE48" s="78">
        <f t="shared" si="12"/>
        <v>1298</v>
      </c>
      <c r="AF48" s="78">
        <f t="shared" si="12"/>
        <v>-1050</v>
      </c>
      <c r="AG48" s="78">
        <f t="shared" si="12"/>
        <v>-1596</v>
      </c>
      <c r="AH48" s="78">
        <f t="shared" si="12"/>
        <v>-155</v>
      </c>
      <c r="AI48" s="78">
        <f t="shared" si="12"/>
        <v>653</v>
      </c>
      <c r="AJ48" s="78">
        <f t="shared" si="12"/>
        <v>-276</v>
      </c>
      <c r="AK48" s="78">
        <f t="shared" si="13"/>
        <v>-15294</v>
      </c>
      <c r="AL48" s="78">
        <f t="shared" si="14"/>
        <v>1951</v>
      </c>
      <c r="AM48" s="78">
        <f t="shared" si="15"/>
        <v>0</v>
      </c>
      <c r="AN48" s="78"/>
      <c r="AO48" s="78">
        <f t="shared" si="22"/>
        <v>-1274.5</v>
      </c>
      <c r="AP48" s="78">
        <f t="shared" si="22"/>
        <v>162.58333333333334</v>
      </c>
      <c r="AQ48" s="82">
        <f t="shared" si="23"/>
        <v>-1111.9166666666667</v>
      </c>
      <c r="AR48" s="82">
        <f t="shared" si="16"/>
        <v>0</v>
      </c>
      <c r="AT48" s="82"/>
      <c r="AU48" s="82"/>
      <c r="AV48" s="82"/>
      <c r="AW48" s="82"/>
      <c r="AX48" s="82"/>
    </row>
    <row r="49" spans="2:50" x14ac:dyDescent="0.75">
      <c r="B49" s="130" t="s">
        <v>46</v>
      </c>
      <c r="C49" s="141">
        <v>25345.3</v>
      </c>
      <c r="D49" s="141">
        <v>24208.9</v>
      </c>
      <c r="E49" s="141">
        <v>23072.5</v>
      </c>
      <c r="F49" s="141">
        <v>25776.2</v>
      </c>
      <c r="G49" s="141">
        <v>23677.9</v>
      </c>
      <c r="H49" s="141">
        <v>23574</v>
      </c>
      <c r="I49" s="141">
        <v>23574</v>
      </c>
      <c r="J49" s="141">
        <v>23675.4</v>
      </c>
      <c r="K49" s="141">
        <v>23520.7</v>
      </c>
      <c r="L49" s="141">
        <v>23876.400000000001</v>
      </c>
      <c r="M49" s="141">
        <v>23829.200000000001</v>
      </c>
      <c r="N49" s="141">
        <v>23931.9</v>
      </c>
      <c r="O49" s="152">
        <v>24059.599999999999</v>
      </c>
      <c r="P49" s="123">
        <f t="shared" si="17"/>
        <v>312122</v>
      </c>
      <c r="Q49" s="92">
        <f t="shared" si="18"/>
        <v>282.60000000000008</v>
      </c>
      <c r="R49" s="79">
        <f t="shared" si="19"/>
        <v>389.74166666666679</v>
      </c>
      <c r="S49" s="93">
        <f t="shared" si="20"/>
        <v>-107.14166666666671</v>
      </c>
      <c r="T49" s="86">
        <f t="shared" si="21"/>
        <v>-1285.7000000000005</v>
      </c>
      <c r="U49" s="83">
        <f t="shared" si="10"/>
        <v>-5.0727353789459997</v>
      </c>
      <c r="V49" s="101"/>
      <c r="W49" s="98">
        <f t="shared" si="11"/>
        <v>-2.649990776457398E-2</v>
      </c>
      <c r="X49" s="98"/>
      <c r="Y49" s="78">
        <f t="shared" si="12"/>
        <v>-1136.3999999999978</v>
      </c>
      <c r="Z49" s="78">
        <f t="shared" si="12"/>
        <v>-1136.4000000000015</v>
      </c>
      <c r="AA49" s="78">
        <f t="shared" si="12"/>
        <v>2703.7000000000007</v>
      </c>
      <c r="AB49" s="78">
        <f t="shared" si="12"/>
        <v>-2098.2999999999993</v>
      </c>
      <c r="AC49" s="78">
        <f t="shared" si="12"/>
        <v>-103.90000000000146</v>
      </c>
      <c r="AD49" s="78">
        <f t="shared" si="12"/>
        <v>0</v>
      </c>
      <c r="AE49" s="78">
        <f t="shared" si="12"/>
        <v>101.40000000000146</v>
      </c>
      <c r="AF49" s="78">
        <f t="shared" si="12"/>
        <v>-154.70000000000073</v>
      </c>
      <c r="AG49" s="78">
        <f t="shared" si="12"/>
        <v>355.70000000000073</v>
      </c>
      <c r="AH49" s="78">
        <f t="shared" si="12"/>
        <v>-47.200000000000728</v>
      </c>
      <c r="AI49" s="78">
        <f t="shared" si="12"/>
        <v>102.70000000000073</v>
      </c>
      <c r="AJ49" s="78">
        <f t="shared" si="12"/>
        <v>127.69999999999709</v>
      </c>
      <c r="AK49" s="78">
        <f t="shared" si="13"/>
        <v>-4676.9000000000015</v>
      </c>
      <c r="AL49" s="78">
        <f t="shared" si="14"/>
        <v>3391.2000000000007</v>
      </c>
      <c r="AM49" s="78">
        <f t="shared" si="15"/>
        <v>0</v>
      </c>
      <c r="AN49" s="78"/>
      <c r="AO49" s="78">
        <f t="shared" si="22"/>
        <v>-389.74166666666679</v>
      </c>
      <c r="AP49" s="78">
        <f t="shared" si="22"/>
        <v>282.60000000000008</v>
      </c>
      <c r="AQ49" s="82">
        <f t="shared" si="23"/>
        <v>-107.14166666666671</v>
      </c>
      <c r="AR49" s="82">
        <f t="shared" si="16"/>
        <v>0</v>
      </c>
      <c r="AT49" s="82"/>
      <c r="AU49" s="82"/>
      <c r="AV49" s="82"/>
      <c r="AW49" s="82"/>
      <c r="AX49" s="82"/>
    </row>
    <row r="50" spans="2:50" x14ac:dyDescent="0.75">
      <c r="B50" s="130" t="s">
        <v>32</v>
      </c>
      <c r="C50" s="142">
        <v>342429</v>
      </c>
      <c r="D50" s="142">
        <v>329304</v>
      </c>
      <c r="E50" s="142">
        <v>316179</v>
      </c>
      <c r="F50" s="142">
        <v>292789</v>
      </c>
      <c r="G50" s="142">
        <v>238249</v>
      </c>
      <c r="H50" s="142">
        <v>205343</v>
      </c>
      <c r="I50" s="142">
        <v>205343</v>
      </c>
      <c r="J50" s="142">
        <v>206530</v>
      </c>
      <c r="K50" s="142">
        <v>202799</v>
      </c>
      <c r="L50" s="142">
        <v>200958</v>
      </c>
      <c r="M50" s="142">
        <v>200400</v>
      </c>
      <c r="N50" s="142">
        <v>202694</v>
      </c>
      <c r="O50" s="153">
        <v>202193</v>
      </c>
      <c r="P50" s="123">
        <f t="shared" si="17"/>
        <v>3145210</v>
      </c>
      <c r="Q50" s="92">
        <f t="shared" si="18"/>
        <v>290.08333333333331</v>
      </c>
      <c r="R50" s="79">
        <f t="shared" si="19"/>
        <v>11976.416666666666</v>
      </c>
      <c r="S50" s="93">
        <f t="shared" si="20"/>
        <v>-11686.333333333332</v>
      </c>
      <c r="T50" s="86">
        <f t="shared" si="21"/>
        <v>-140236</v>
      </c>
      <c r="U50" s="83">
        <f t="shared" si="10"/>
        <v>-40.953307108918928</v>
      </c>
      <c r="V50" s="101"/>
      <c r="W50" s="98">
        <f t="shared" si="11"/>
        <v>-2.8904418334547679</v>
      </c>
      <c r="X50" s="98"/>
      <c r="Y50" s="78">
        <f t="shared" si="12"/>
        <v>-13125</v>
      </c>
      <c r="Z50" s="78">
        <f t="shared" si="12"/>
        <v>-13125</v>
      </c>
      <c r="AA50" s="78">
        <f t="shared" si="12"/>
        <v>-23390</v>
      </c>
      <c r="AB50" s="78">
        <f t="shared" si="12"/>
        <v>-54540</v>
      </c>
      <c r="AC50" s="78">
        <f t="shared" si="12"/>
        <v>-32906</v>
      </c>
      <c r="AD50" s="78">
        <f t="shared" si="12"/>
        <v>0</v>
      </c>
      <c r="AE50" s="78">
        <f t="shared" si="12"/>
        <v>1187</v>
      </c>
      <c r="AF50" s="78">
        <f t="shared" si="12"/>
        <v>-3731</v>
      </c>
      <c r="AG50" s="78">
        <f t="shared" si="12"/>
        <v>-1841</v>
      </c>
      <c r="AH50" s="78">
        <f t="shared" si="12"/>
        <v>-558</v>
      </c>
      <c r="AI50" s="78">
        <f t="shared" si="12"/>
        <v>2294</v>
      </c>
      <c r="AJ50" s="78">
        <f t="shared" si="12"/>
        <v>-501</v>
      </c>
      <c r="AK50" s="78">
        <f t="shared" si="13"/>
        <v>-143717</v>
      </c>
      <c r="AL50" s="78">
        <f t="shared" si="14"/>
        <v>3481</v>
      </c>
      <c r="AM50" s="78">
        <f t="shared" si="15"/>
        <v>0</v>
      </c>
      <c r="AN50" s="78"/>
      <c r="AO50" s="78">
        <f t="shared" si="22"/>
        <v>-11976.416666666666</v>
      </c>
      <c r="AP50" s="78">
        <f t="shared" si="22"/>
        <v>290.08333333333331</v>
      </c>
      <c r="AQ50" s="82">
        <f t="shared" si="23"/>
        <v>-11686.333333333332</v>
      </c>
      <c r="AR50" s="82">
        <f t="shared" si="16"/>
        <v>0</v>
      </c>
      <c r="AT50" s="82"/>
      <c r="AU50" s="82"/>
      <c r="AV50" s="82"/>
      <c r="AW50" s="82"/>
      <c r="AX50" s="82"/>
    </row>
    <row r="51" spans="2:50" x14ac:dyDescent="0.75">
      <c r="B51" s="130" t="s">
        <v>48</v>
      </c>
      <c r="C51" s="142">
        <v>531109</v>
      </c>
      <c r="D51" s="142">
        <v>419213</v>
      </c>
      <c r="E51" s="142">
        <v>307317</v>
      </c>
      <c r="F51" s="142">
        <v>313173</v>
      </c>
      <c r="G51" s="142">
        <v>338909</v>
      </c>
      <c r="H51" s="142">
        <v>371810</v>
      </c>
      <c r="I51" s="142">
        <v>371810</v>
      </c>
      <c r="J51" s="142">
        <v>374446</v>
      </c>
      <c r="K51" s="142">
        <v>359399</v>
      </c>
      <c r="L51" s="142">
        <v>356270</v>
      </c>
      <c r="M51" s="142">
        <v>358089</v>
      </c>
      <c r="N51" s="142">
        <v>357151</v>
      </c>
      <c r="O51" s="153">
        <v>531266</v>
      </c>
      <c r="P51" s="123">
        <f t="shared" si="17"/>
        <v>4989962</v>
      </c>
      <c r="Q51" s="92">
        <f t="shared" si="18"/>
        <v>20255.25</v>
      </c>
      <c r="R51" s="79">
        <f t="shared" si="19"/>
        <v>20242.166666666668</v>
      </c>
      <c r="S51" s="93">
        <f t="shared" si="20"/>
        <v>13.083333333332121</v>
      </c>
      <c r="T51" s="86">
        <f t="shared" si="21"/>
        <v>156.99999999998545</v>
      </c>
      <c r="U51" s="83">
        <f t="shared" si="10"/>
        <v>2.9560786957100228E-2</v>
      </c>
      <c r="V51" s="101"/>
      <c r="W51" s="98">
        <f t="shared" si="11"/>
        <v>3.2359691366864183E-3</v>
      </c>
      <c r="X51" s="98"/>
      <c r="Y51" s="78">
        <f t="shared" si="12"/>
        <v>-111896</v>
      </c>
      <c r="Z51" s="78">
        <f t="shared" si="12"/>
        <v>-111896</v>
      </c>
      <c r="AA51" s="78">
        <f t="shared" si="12"/>
        <v>5856</v>
      </c>
      <c r="AB51" s="78">
        <f t="shared" si="12"/>
        <v>25736</v>
      </c>
      <c r="AC51" s="78">
        <f t="shared" si="12"/>
        <v>32901</v>
      </c>
      <c r="AD51" s="78">
        <f t="shared" si="12"/>
        <v>0</v>
      </c>
      <c r="AE51" s="78">
        <f t="shared" si="12"/>
        <v>2636</v>
      </c>
      <c r="AF51" s="78">
        <f t="shared" si="12"/>
        <v>-15047</v>
      </c>
      <c r="AG51" s="78">
        <f t="shared" si="12"/>
        <v>-3129</v>
      </c>
      <c r="AH51" s="78">
        <f t="shared" si="12"/>
        <v>1819</v>
      </c>
      <c r="AI51" s="78">
        <f t="shared" si="12"/>
        <v>-938</v>
      </c>
      <c r="AJ51" s="78">
        <f t="shared" si="12"/>
        <v>174115</v>
      </c>
      <c r="AK51" s="78">
        <f t="shared" si="13"/>
        <v>-242906</v>
      </c>
      <c r="AL51" s="78">
        <f t="shared" si="14"/>
        <v>243063</v>
      </c>
      <c r="AM51" s="78">
        <f t="shared" si="15"/>
        <v>0</v>
      </c>
      <c r="AN51" s="78"/>
      <c r="AO51" s="78">
        <f t="shared" si="22"/>
        <v>-20242.166666666668</v>
      </c>
      <c r="AP51" s="78">
        <f t="shared" si="22"/>
        <v>20255.25</v>
      </c>
      <c r="AQ51" s="82">
        <f t="shared" si="23"/>
        <v>13.083333333332121</v>
      </c>
      <c r="AR51" s="82">
        <f t="shared" si="16"/>
        <v>1.2132517213103711E-12</v>
      </c>
      <c r="AT51" s="82"/>
      <c r="AU51" s="82"/>
      <c r="AV51" s="82"/>
      <c r="AW51" s="82"/>
      <c r="AX51" s="82"/>
    </row>
    <row r="52" spans="2:50" x14ac:dyDescent="0.75">
      <c r="B52" s="130" t="s">
        <v>34</v>
      </c>
      <c r="C52" s="141">
        <v>71945.899999999994</v>
      </c>
      <c r="D52" s="141">
        <v>124194.45</v>
      </c>
      <c r="E52" s="141">
        <v>176443</v>
      </c>
      <c r="F52" s="141">
        <v>177229</v>
      </c>
      <c r="G52" s="141">
        <v>178032</v>
      </c>
      <c r="H52" s="141">
        <v>178463</v>
      </c>
      <c r="I52" s="141">
        <v>177262</v>
      </c>
      <c r="J52" s="141">
        <v>174273</v>
      </c>
      <c r="K52" s="141">
        <v>169262</v>
      </c>
      <c r="L52" s="141">
        <v>166111</v>
      </c>
      <c r="M52" s="141">
        <v>170801</v>
      </c>
      <c r="N52" s="141">
        <v>169656</v>
      </c>
      <c r="O52" s="152">
        <v>129465</v>
      </c>
      <c r="P52" s="123">
        <f>SUM(C52:O52)</f>
        <v>2063137.35</v>
      </c>
      <c r="Q52" s="92">
        <f t="shared" si="18"/>
        <v>9267.2583333333332</v>
      </c>
      <c r="R52" s="79">
        <f t="shared" si="19"/>
        <v>4474</v>
      </c>
      <c r="S52" s="93">
        <f t="shared" si="20"/>
        <v>4793.2583333333332</v>
      </c>
      <c r="T52" s="86">
        <f t="shared" si="21"/>
        <v>57519.1</v>
      </c>
      <c r="U52" s="83">
        <f t="shared" si="10"/>
        <v>79.947710710408799</v>
      </c>
      <c r="V52" s="101"/>
      <c r="W52" s="98">
        <f t="shared" si="11"/>
        <v>1.1855416074522103</v>
      </c>
      <c r="X52" s="98"/>
      <c r="Y52" s="78">
        <f t="shared" si="12"/>
        <v>52248.55</v>
      </c>
      <c r="Z52" s="78">
        <f t="shared" si="12"/>
        <v>52248.55</v>
      </c>
      <c r="AA52" s="78">
        <f t="shared" si="12"/>
        <v>786</v>
      </c>
      <c r="AB52" s="78">
        <f t="shared" si="12"/>
        <v>803</v>
      </c>
      <c r="AC52" s="78">
        <f t="shared" si="12"/>
        <v>431</v>
      </c>
      <c r="AD52" s="78">
        <f t="shared" si="12"/>
        <v>-1201</v>
      </c>
      <c r="AE52" s="78">
        <f t="shared" si="12"/>
        <v>-2989</v>
      </c>
      <c r="AF52" s="78">
        <f t="shared" si="12"/>
        <v>-5011</v>
      </c>
      <c r="AG52" s="78">
        <f t="shared" si="12"/>
        <v>-3151</v>
      </c>
      <c r="AH52" s="78">
        <f t="shared" si="12"/>
        <v>4690</v>
      </c>
      <c r="AI52" s="78">
        <f t="shared" si="12"/>
        <v>-1145</v>
      </c>
      <c r="AJ52" s="78">
        <f t="shared" si="12"/>
        <v>-40191</v>
      </c>
      <c r="AK52" s="78">
        <f t="shared" si="13"/>
        <v>-53688</v>
      </c>
      <c r="AL52" s="78">
        <f t="shared" si="14"/>
        <v>111207.1</v>
      </c>
      <c r="AM52" s="78">
        <f t="shared" si="15"/>
        <v>0</v>
      </c>
      <c r="AN52" s="78"/>
      <c r="AO52" s="78">
        <f t="shared" si="22"/>
        <v>-4474</v>
      </c>
      <c r="AP52" s="78">
        <f t="shared" si="22"/>
        <v>9267.2583333333332</v>
      </c>
      <c r="AQ52" s="82">
        <f t="shared" si="23"/>
        <v>4793.2583333333332</v>
      </c>
      <c r="AR52" s="82">
        <f t="shared" si="16"/>
        <v>0</v>
      </c>
      <c r="AT52" s="82"/>
      <c r="AU52" s="82"/>
      <c r="AV52" s="82"/>
      <c r="AW52" s="82"/>
      <c r="AX52" s="82"/>
    </row>
    <row r="53" spans="2:50" x14ac:dyDescent="0.75">
      <c r="B53" s="130" t="s">
        <v>66</v>
      </c>
      <c r="C53" s="143">
        <v>0</v>
      </c>
      <c r="D53" s="141">
        <v>0</v>
      </c>
      <c r="E53" s="141">
        <v>0</v>
      </c>
      <c r="F53" s="141">
        <v>101.02200000000001</v>
      </c>
      <c r="G53" s="141">
        <v>101.02200000000001</v>
      </c>
      <c r="H53" s="141">
        <v>101.02200000000001</v>
      </c>
      <c r="I53" s="141">
        <v>1533.15</v>
      </c>
      <c r="J53" s="141">
        <v>16535</v>
      </c>
      <c r="K53" s="141">
        <v>19885</v>
      </c>
      <c r="L53" s="141">
        <v>27397.200000000001</v>
      </c>
      <c r="M53" s="141">
        <v>53856.800000000003</v>
      </c>
      <c r="N53" s="141">
        <v>80231.399999999994</v>
      </c>
      <c r="O53" s="152">
        <v>94358.6</v>
      </c>
      <c r="P53" s="123">
        <f t="shared" si="17"/>
        <v>294100.21600000001</v>
      </c>
      <c r="Q53" s="92">
        <f t="shared" si="18"/>
        <v>7863.2166666666672</v>
      </c>
      <c r="R53" s="79">
        <f t="shared" si="19"/>
        <v>0</v>
      </c>
      <c r="S53" s="93">
        <f t="shared" si="20"/>
        <v>7863.2166666666672</v>
      </c>
      <c r="T53" s="86">
        <f t="shared" si="21"/>
        <v>94358.6</v>
      </c>
      <c r="U53" s="94" t="e">
        <f t="shared" si="10"/>
        <v>#DIV/0!</v>
      </c>
      <c r="V53" s="101"/>
      <c r="W53" s="98">
        <f t="shared" si="11"/>
        <v>1.9448504291781359</v>
      </c>
      <c r="X53" s="98"/>
      <c r="Y53" s="78">
        <f t="shared" si="12"/>
        <v>0</v>
      </c>
      <c r="Z53" s="78">
        <f t="shared" si="12"/>
        <v>0</v>
      </c>
      <c r="AA53" s="78">
        <f t="shared" si="12"/>
        <v>101.02200000000001</v>
      </c>
      <c r="AB53" s="78">
        <f t="shared" si="12"/>
        <v>0</v>
      </c>
      <c r="AC53" s="78">
        <f t="shared" si="12"/>
        <v>0</v>
      </c>
      <c r="AD53" s="78">
        <f t="shared" si="12"/>
        <v>1432.1280000000002</v>
      </c>
      <c r="AE53" s="78">
        <f t="shared" si="12"/>
        <v>15001.85</v>
      </c>
      <c r="AF53" s="78">
        <f t="shared" si="12"/>
        <v>3350</v>
      </c>
      <c r="AG53" s="78">
        <f t="shared" si="12"/>
        <v>7512.2000000000007</v>
      </c>
      <c r="AH53" s="78">
        <f t="shared" si="12"/>
        <v>26459.600000000002</v>
      </c>
      <c r="AI53" s="78">
        <f t="shared" si="12"/>
        <v>26374.599999999991</v>
      </c>
      <c r="AJ53" s="78">
        <f t="shared" si="12"/>
        <v>14127.200000000012</v>
      </c>
      <c r="AK53" s="78">
        <f t="shared" si="13"/>
        <v>0</v>
      </c>
      <c r="AL53" s="78">
        <f t="shared" si="14"/>
        <v>94358.6</v>
      </c>
      <c r="AM53" s="78">
        <f t="shared" si="15"/>
        <v>0</v>
      </c>
      <c r="AN53" s="78"/>
      <c r="AO53" s="78">
        <f t="shared" si="22"/>
        <v>0</v>
      </c>
      <c r="AP53" s="78">
        <f t="shared" si="22"/>
        <v>7863.2166666666672</v>
      </c>
      <c r="AQ53" s="82">
        <f t="shared" si="23"/>
        <v>7863.2166666666672</v>
      </c>
      <c r="AR53" s="82">
        <f t="shared" si="16"/>
        <v>0</v>
      </c>
      <c r="AT53" s="82"/>
      <c r="AU53" s="82"/>
      <c r="AV53" s="82"/>
      <c r="AW53" s="82"/>
      <c r="AX53" s="82"/>
    </row>
    <row r="54" spans="2:50" x14ac:dyDescent="0.75">
      <c r="B54" s="130" t="s">
        <v>36</v>
      </c>
      <c r="C54" s="141">
        <v>3159.73</v>
      </c>
      <c r="D54" s="141">
        <v>3365.5749999999998</v>
      </c>
      <c r="E54" s="141">
        <v>3571.42</v>
      </c>
      <c r="F54" s="141">
        <v>3667.19</v>
      </c>
      <c r="G54" s="141">
        <v>3890.97</v>
      </c>
      <c r="H54" s="141">
        <v>3890.97</v>
      </c>
      <c r="I54" s="141">
        <v>3890.97</v>
      </c>
      <c r="J54" s="141">
        <v>3916.67</v>
      </c>
      <c r="K54" s="141">
        <v>3653.09</v>
      </c>
      <c r="L54" s="141">
        <v>3878.1</v>
      </c>
      <c r="M54" s="141">
        <v>3480.02</v>
      </c>
      <c r="N54" s="141">
        <v>7216.4</v>
      </c>
      <c r="O54" s="152">
        <v>7089.96</v>
      </c>
      <c r="P54" s="123">
        <f t="shared" si="17"/>
        <v>54671.065000000002</v>
      </c>
      <c r="Q54" s="92">
        <f t="shared" si="18"/>
        <v>393.19416666666666</v>
      </c>
      <c r="R54" s="79">
        <f t="shared" si="19"/>
        <v>65.674999999999955</v>
      </c>
      <c r="S54" s="93">
        <f t="shared" si="20"/>
        <v>327.51916666666671</v>
      </c>
      <c r="T54" s="86">
        <f t="shared" si="21"/>
        <v>3930.2300000000005</v>
      </c>
      <c r="U54" s="83">
        <f t="shared" si="10"/>
        <v>124.38499492045209</v>
      </c>
      <c r="V54" s="101"/>
      <c r="W54" s="98">
        <f t="shared" si="11"/>
        <v>8.100702535082957E-2</v>
      </c>
      <c r="X54" s="98"/>
      <c r="Y54" s="78">
        <f t="shared" si="12"/>
        <v>205.8449999999998</v>
      </c>
      <c r="Z54" s="78">
        <f t="shared" si="12"/>
        <v>205.84500000000025</v>
      </c>
      <c r="AA54" s="78">
        <f t="shared" si="12"/>
        <v>95.769999999999982</v>
      </c>
      <c r="AB54" s="78">
        <f t="shared" si="12"/>
        <v>223.77999999999975</v>
      </c>
      <c r="AC54" s="78">
        <f t="shared" si="12"/>
        <v>0</v>
      </c>
      <c r="AD54" s="78">
        <f t="shared" si="12"/>
        <v>0</v>
      </c>
      <c r="AE54" s="78">
        <f t="shared" si="12"/>
        <v>25.700000000000273</v>
      </c>
      <c r="AF54" s="78">
        <f t="shared" si="12"/>
        <v>-263.57999999999993</v>
      </c>
      <c r="AG54" s="78">
        <f t="shared" si="12"/>
        <v>225.00999999999976</v>
      </c>
      <c r="AH54" s="78">
        <f t="shared" si="12"/>
        <v>-398.07999999999993</v>
      </c>
      <c r="AI54" s="78">
        <f t="shared" si="12"/>
        <v>3736.3799999999997</v>
      </c>
      <c r="AJ54" s="78">
        <f t="shared" si="12"/>
        <v>-126.4399999999996</v>
      </c>
      <c r="AK54" s="78">
        <f t="shared" si="13"/>
        <v>-788.09999999999945</v>
      </c>
      <c r="AL54" s="78">
        <f t="shared" si="14"/>
        <v>4718.33</v>
      </c>
      <c r="AM54" s="78">
        <f t="shared" si="15"/>
        <v>0</v>
      </c>
      <c r="AN54" s="78"/>
      <c r="AO54" s="78">
        <f t="shared" si="22"/>
        <v>-65.674999999999955</v>
      </c>
      <c r="AP54" s="78">
        <f t="shared" si="22"/>
        <v>393.19416666666666</v>
      </c>
      <c r="AQ54" s="82">
        <f t="shared" si="23"/>
        <v>327.51916666666671</v>
      </c>
      <c r="AR54" s="82">
        <f t="shared" si="16"/>
        <v>0</v>
      </c>
      <c r="AT54" s="82"/>
      <c r="AU54" s="82"/>
      <c r="AV54" s="82"/>
      <c r="AW54" s="82"/>
      <c r="AX54" s="82"/>
    </row>
    <row r="55" spans="2:50" x14ac:dyDescent="0.75">
      <c r="B55" s="130" t="s">
        <v>38</v>
      </c>
      <c r="C55" s="141">
        <v>81713.600000000006</v>
      </c>
      <c r="D55" s="141">
        <v>51759.350000000006</v>
      </c>
      <c r="E55" s="141">
        <v>21805.1</v>
      </c>
      <c r="F55" s="141">
        <v>21805.1</v>
      </c>
      <c r="G55" s="141">
        <v>21853.200000000001</v>
      </c>
      <c r="H55" s="141">
        <v>21853.200000000001</v>
      </c>
      <c r="I55" s="141">
        <v>21912.9</v>
      </c>
      <c r="J55" s="141">
        <v>23500.799999999999</v>
      </c>
      <c r="K55" s="141">
        <v>263859</v>
      </c>
      <c r="L55" s="141">
        <v>75080.7</v>
      </c>
      <c r="M55" s="141">
        <v>56539</v>
      </c>
      <c r="N55" s="141">
        <v>77994.3</v>
      </c>
      <c r="O55" s="152">
        <v>88946.1</v>
      </c>
      <c r="P55" s="123">
        <f t="shared" si="17"/>
        <v>828622.35</v>
      </c>
      <c r="Q55" s="92">
        <f t="shared" si="18"/>
        <v>22871.75</v>
      </c>
      <c r="R55" s="79">
        <f t="shared" si="19"/>
        <v>22269.041666666668</v>
      </c>
      <c r="S55" s="93">
        <f t="shared" si="20"/>
        <v>602.70833333333212</v>
      </c>
      <c r="T55" s="86">
        <f t="shared" si="21"/>
        <v>7232.4999999999854</v>
      </c>
      <c r="U55" s="83">
        <f t="shared" si="10"/>
        <v>8.8510358128879218</v>
      </c>
      <c r="V55" s="101"/>
      <c r="W55" s="98">
        <f t="shared" si="11"/>
        <v>0.1490709986056474</v>
      </c>
      <c r="X55" s="98"/>
      <c r="Y55" s="78">
        <f t="shared" si="12"/>
        <v>-29954.25</v>
      </c>
      <c r="Z55" s="78">
        <f t="shared" si="12"/>
        <v>-29954.250000000007</v>
      </c>
      <c r="AA55" s="78">
        <f t="shared" si="12"/>
        <v>0</v>
      </c>
      <c r="AB55" s="78">
        <f t="shared" si="12"/>
        <v>48.100000000002183</v>
      </c>
      <c r="AC55" s="78">
        <f t="shared" si="12"/>
        <v>0</v>
      </c>
      <c r="AD55" s="78">
        <f t="shared" si="12"/>
        <v>59.700000000000728</v>
      </c>
      <c r="AE55" s="78">
        <f t="shared" si="12"/>
        <v>1587.8999999999978</v>
      </c>
      <c r="AF55" s="78">
        <f t="shared" si="12"/>
        <v>240358.2</v>
      </c>
      <c r="AG55" s="78">
        <f t="shared" si="12"/>
        <v>-188778.3</v>
      </c>
      <c r="AH55" s="78">
        <f t="shared" si="12"/>
        <v>-18541.699999999997</v>
      </c>
      <c r="AI55" s="78">
        <f t="shared" si="12"/>
        <v>21455.300000000003</v>
      </c>
      <c r="AJ55" s="78">
        <f t="shared" si="12"/>
        <v>10951.800000000003</v>
      </c>
      <c r="AK55" s="78">
        <f t="shared" si="13"/>
        <v>-267228.5</v>
      </c>
      <c r="AL55" s="78">
        <f t="shared" si="14"/>
        <v>274461</v>
      </c>
      <c r="AM55" s="78">
        <f t="shared" si="15"/>
        <v>0</v>
      </c>
      <c r="AN55" s="78"/>
      <c r="AO55" s="78">
        <f t="shared" si="22"/>
        <v>-22269.041666666668</v>
      </c>
      <c r="AP55" s="78">
        <f t="shared" si="22"/>
        <v>22871.75</v>
      </c>
      <c r="AQ55" s="82">
        <f t="shared" si="23"/>
        <v>602.70833333333212</v>
      </c>
      <c r="AR55" s="82">
        <f t="shared" si="16"/>
        <v>1.2505552149377763E-12</v>
      </c>
      <c r="AT55" s="82"/>
      <c r="AU55" s="82"/>
      <c r="AV55" s="82"/>
      <c r="AW55" s="82"/>
      <c r="AX55" s="82"/>
    </row>
    <row r="56" spans="2:50" x14ac:dyDescent="0.75">
      <c r="B56" s="130" t="s">
        <v>40</v>
      </c>
      <c r="C56" s="141">
        <v>763.64700000000005</v>
      </c>
      <c r="D56" s="141">
        <v>763.64700000000005</v>
      </c>
      <c r="E56" s="141">
        <v>763.64700000000005</v>
      </c>
      <c r="F56" s="141">
        <v>763.64700000000005</v>
      </c>
      <c r="G56" s="141">
        <v>763.64700000000005</v>
      </c>
      <c r="H56" s="141">
        <v>763.64700000000005</v>
      </c>
      <c r="I56" s="141">
        <v>763.64700000000005</v>
      </c>
      <c r="J56" s="141">
        <v>0</v>
      </c>
      <c r="K56" s="141">
        <v>0</v>
      </c>
      <c r="L56" s="141">
        <v>0</v>
      </c>
      <c r="M56" s="141">
        <v>0</v>
      </c>
      <c r="N56" s="141">
        <v>0</v>
      </c>
      <c r="O56" s="152">
        <v>0</v>
      </c>
      <c r="P56" s="123">
        <f>SUM(C56:O56)</f>
        <v>5345.5290000000005</v>
      </c>
      <c r="Q56" s="92">
        <f t="shared" si="18"/>
        <v>0</v>
      </c>
      <c r="R56" s="79">
        <f t="shared" si="19"/>
        <v>63.637250000000002</v>
      </c>
      <c r="S56" s="93">
        <f t="shared" si="20"/>
        <v>-63.637250000000002</v>
      </c>
      <c r="T56" s="86">
        <f t="shared" si="21"/>
        <v>-763.64700000000005</v>
      </c>
      <c r="U56" s="83">
        <f t="shared" si="10"/>
        <v>-100.00000000000001</v>
      </c>
      <c r="V56" s="101"/>
      <c r="W56" s="98">
        <f t="shared" si="11"/>
        <v>-1.5739733269575812E-2</v>
      </c>
      <c r="X56" s="98"/>
      <c r="Y56" s="78">
        <f t="shared" si="12"/>
        <v>0</v>
      </c>
      <c r="Z56" s="78">
        <f t="shared" si="12"/>
        <v>0</v>
      </c>
      <c r="AA56" s="78">
        <f t="shared" si="12"/>
        <v>0</v>
      </c>
      <c r="AB56" s="78">
        <f t="shared" si="12"/>
        <v>0</v>
      </c>
      <c r="AC56" s="78">
        <f t="shared" si="12"/>
        <v>0</v>
      </c>
      <c r="AD56" s="78">
        <f t="shared" si="12"/>
        <v>0</v>
      </c>
      <c r="AE56" s="78">
        <f t="shared" si="12"/>
        <v>-763.64700000000005</v>
      </c>
      <c r="AF56" s="78">
        <f t="shared" si="12"/>
        <v>0</v>
      </c>
      <c r="AG56" s="78">
        <f t="shared" si="12"/>
        <v>0</v>
      </c>
      <c r="AH56" s="78">
        <f t="shared" si="12"/>
        <v>0</v>
      </c>
      <c r="AI56" s="78">
        <f t="shared" si="12"/>
        <v>0</v>
      </c>
      <c r="AJ56" s="78">
        <f t="shared" si="12"/>
        <v>0</v>
      </c>
      <c r="AK56" s="78">
        <f t="shared" si="13"/>
        <v>-763.64700000000005</v>
      </c>
      <c r="AL56" s="78">
        <f t="shared" si="14"/>
        <v>0</v>
      </c>
      <c r="AM56" s="78">
        <f t="shared" si="15"/>
        <v>0</v>
      </c>
      <c r="AN56" s="78"/>
      <c r="AO56" s="78">
        <f t="shared" si="22"/>
        <v>-63.637250000000002</v>
      </c>
      <c r="AP56" s="78">
        <f t="shared" si="22"/>
        <v>0</v>
      </c>
      <c r="AQ56" s="82">
        <f t="shared" si="23"/>
        <v>-63.637250000000002</v>
      </c>
      <c r="AR56" s="82">
        <f t="shared" si="16"/>
        <v>0</v>
      </c>
      <c r="AT56" s="82"/>
      <c r="AU56" s="82"/>
      <c r="AV56" s="82"/>
      <c r="AW56" s="82"/>
      <c r="AX56" s="82"/>
    </row>
    <row r="57" spans="2:50" x14ac:dyDescent="0.75">
      <c r="B57" s="130" t="s">
        <v>42</v>
      </c>
      <c r="C57" s="141">
        <v>471693</v>
      </c>
      <c r="D57" s="141">
        <v>549086.5</v>
      </c>
      <c r="E57" s="141">
        <v>626480</v>
      </c>
      <c r="F57" s="141">
        <v>646258</v>
      </c>
      <c r="G57" s="141">
        <v>655175</v>
      </c>
      <c r="H57" s="141">
        <v>704034</v>
      </c>
      <c r="I57" s="141">
        <v>704044</v>
      </c>
      <c r="J57" s="141">
        <v>708703</v>
      </c>
      <c r="K57" s="141">
        <v>568723</v>
      </c>
      <c r="L57" s="141">
        <v>700156</v>
      </c>
      <c r="M57" s="141">
        <v>603422</v>
      </c>
      <c r="N57" s="141">
        <v>576528</v>
      </c>
      <c r="O57" s="152">
        <v>555274</v>
      </c>
      <c r="P57" s="123">
        <f t="shared" si="17"/>
        <v>8069576.5</v>
      </c>
      <c r="Q57" s="92">
        <f t="shared" si="18"/>
        <v>30703.583333333332</v>
      </c>
      <c r="R57" s="79">
        <f t="shared" si="19"/>
        <v>23738.5</v>
      </c>
      <c r="S57" s="93">
        <f t="shared" si="20"/>
        <v>6965.0833333333321</v>
      </c>
      <c r="T57" s="86">
        <f t="shared" si="21"/>
        <v>83580.999999999985</v>
      </c>
      <c r="U57" s="83">
        <f t="shared" si="10"/>
        <v>17.719364077906601</v>
      </c>
      <c r="V57" s="101"/>
      <c r="W57" s="98">
        <f t="shared" si="11"/>
        <v>1.7227104230153663</v>
      </c>
      <c r="X57" s="98"/>
      <c r="Y57" s="78">
        <f t="shared" si="12"/>
        <v>77393.5</v>
      </c>
      <c r="Z57" s="78">
        <f t="shared" si="12"/>
        <v>77393.5</v>
      </c>
      <c r="AA57" s="78">
        <f t="shared" si="12"/>
        <v>19778</v>
      </c>
      <c r="AB57" s="78">
        <f t="shared" si="12"/>
        <v>8917</v>
      </c>
      <c r="AC57" s="78">
        <f t="shared" si="12"/>
        <v>48859</v>
      </c>
      <c r="AD57" s="78">
        <f t="shared" si="12"/>
        <v>10</v>
      </c>
      <c r="AE57" s="78">
        <f t="shared" si="12"/>
        <v>4659</v>
      </c>
      <c r="AF57" s="78">
        <f t="shared" si="12"/>
        <v>-139980</v>
      </c>
      <c r="AG57" s="78">
        <f t="shared" si="12"/>
        <v>131433</v>
      </c>
      <c r="AH57" s="78">
        <f t="shared" si="12"/>
        <v>-96734</v>
      </c>
      <c r="AI57" s="78">
        <f t="shared" si="12"/>
        <v>-26894</v>
      </c>
      <c r="AJ57" s="78">
        <f t="shared" si="12"/>
        <v>-21254</v>
      </c>
      <c r="AK57" s="78">
        <f t="shared" si="13"/>
        <v>-284862</v>
      </c>
      <c r="AL57" s="78">
        <f t="shared" si="14"/>
        <v>368443</v>
      </c>
      <c r="AM57" s="78">
        <f t="shared" si="15"/>
        <v>0</v>
      </c>
      <c r="AN57" s="78"/>
      <c r="AO57" s="78">
        <f t="shared" si="22"/>
        <v>-23738.5</v>
      </c>
      <c r="AP57" s="78">
        <f t="shared" si="22"/>
        <v>30703.583333333332</v>
      </c>
      <c r="AQ57" s="82">
        <f t="shared" si="23"/>
        <v>6965.0833333333321</v>
      </c>
      <c r="AR57" s="82">
        <f t="shared" si="16"/>
        <v>0</v>
      </c>
      <c r="AT57" s="82"/>
      <c r="AU57" s="82"/>
      <c r="AV57" s="82"/>
      <c r="AW57" s="82"/>
      <c r="AX57" s="82"/>
    </row>
    <row r="58" spans="2:50" x14ac:dyDescent="0.75">
      <c r="B58" s="130" t="s">
        <v>44</v>
      </c>
      <c r="C58" s="141">
        <v>352031.11899999995</v>
      </c>
      <c r="D58" s="141">
        <v>352012.17400000058</v>
      </c>
      <c r="E58" s="141">
        <v>351993.22899999935</v>
      </c>
      <c r="F58" s="141">
        <v>351992.03699999955</v>
      </c>
      <c r="G58" s="141">
        <v>351994.55700000003</v>
      </c>
      <c r="H58" s="141">
        <v>351993.95699999947</v>
      </c>
      <c r="I58" s="141">
        <v>351993.82899999991</v>
      </c>
      <c r="J58" s="141">
        <v>322264.42600000091</v>
      </c>
      <c r="K58" s="141">
        <v>322282.10600000061</v>
      </c>
      <c r="L58" s="141">
        <v>351749.49600000028</v>
      </c>
      <c r="M58" s="141">
        <v>351734.07599999942</v>
      </c>
      <c r="N58" s="141">
        <v>349815.73299999943</v>
      </c>
      <c r="O58" s="152">
        <v>349883.96779999975</v>
      </c>
      <c r="P58" s="123">
        <f t="shared" si="17"/>
        <v>4511740.7067999989</v>
      </c>
      <c r="Q58" s="92">
        <f t="shared" si="18"/>
        <v>2462.9854000000146</v>
      </c>
      <c r="R58" s="79">
        <f t="shared" si="19"/>
        <v>2641.9146666666979</v>
      </c>
      <c r="S58" s="93">
        <f t="shared" si="20"/>
        <v>-178.92926666668336</v>
      </c>
      <c r="T58" s="86">
        <f t="shared" si="21"/>
        <v>-2147.1512000002003</v>
      </c>
      <c r="U58" s="83">
        <f t="shared" si="10"/>
        <v>-0.60993221454385127</v>
      </c>
      <c r="V58" s="101"/>
      <c r="W58" s="98">
        <f t="shared" si="11"/>
        <v>-4.42555096496847E-2</v>
      </c>
      <c r="X58" s="98"/>
      <c r="Y58" s="78">
        <f t="shared" si="12"/>
        <v>-18.944999999366701</v>
      </c>
      <c r="Z58" s="78">
        <f t="shared" si="12"/>
        <v>-18.945000001229346</v>
      </c>
      <c r="AA58" s="78">
        <f t="shared" si="12"/>
        <v>-1.1919999998062849</v>
      </c>
      <c r="AB58" s="78">
        <f t="shared" si="12"/>
        <v>2.5200000004842877</v>
      </c>
      <c r="AC58" s="78">
        <f t="shared" si="12"/>
        <v>-0.60000000055879354</v>
      </c>
      <c r="AD58" s="78">
        <f t="shared" si="12"/>
        <v>-0.12799999956041574</v>
      </c>
      <c r="AE58" s="78">
        <f t="shared" si="12"/>
        <v>-29729.402999999002</v>
      </c>
      <c r="AF58" s="78">
        <f t="shared" si="12"/>
        <v>17.679999999701977</v>
      </c>
      <c r="AG58" s="78">
        <f t="shared" si="12"/>
        <v>29467.389999999665</v>
      </c>
      <c r="AH58" s="78">
        <f t="shared" si="12"/>
        <v>-15.420000000856817</v>
      </c>
      <c r="AI58" s="78">
        <f t="shared" si="12"/>
        <v>-1918.3429999999935</v>
      </c>
      <c r="AJ58" s="78">
        <f t="shared" si="12"/>
        <v>68.234800000325777</v>
      </c>
      <c r="AK58" s="78">
        <f t="shared" si="13"/>
        <v>-31702.976000000373</v>
      </c>
      <c r="AL58" s="78">
        <f t="shared" si="14"/>
        <v>29555.824800000177</v>
      </c>
      <c r="AM58" s="78">
        <f t="shared" si="15"/>
        <v>0</v>
      </c>
      <c r="AN58" s="78"/>
      <c r="AO58" s="78">
        <f t="shared" si="22"/>
        <v>-2641.9146666666979</v>
      </c>
      <c r="AP58" s="78">
        <f t="shared" si="22"/>
        <v>2462.9854000000146</v>
      </c>
      <c r="AQ58" s="82">
        <f t="shared" si="23"/>
        <v>-178.92926666668336</v>
      </c>
      <c r="AR58" s="82">
        <f t="shared" si="16"/>
        <v>3.1263880373444408E-13</v>
      </c>
      <c r="AT58" s="82"/>
      <c r="AU58" s="82"/>
      <c r="AV58" s="82"/>
      <c r="AW58" s="82"/>
      <c r="AX58" s="82"/>
    </row>
    <row r="59" spans="2:50" x14ac:dyDescent="0.75">
      <c r="B59" s="130" t="s">
        <v>50</v>
      </c>
      <c r="C59" s="142">
        <v>930069</v>
      </c>
      <c r="D59" s="142">
        <v>931437.5</v>
      </c>
      <c r="E59" s="142">
        <v>932806</v>
      </c>
      <c r="F59" s="142">
        <v>929360</v>
      </c>
      <c r="G59" s="142">
        <v>949786</v>
      </c>
      <c r="H59" s="142">
        <v>900908</v>
      </c>
      <c r="I59" s="142">
        <v>900838</v>
      </c>
      <c r="J59" s="142">
        <v>906111</v>
      </c>
      <c r="K59" s="142">
        <v>860813</v>
      </c>
      <c r="L59" s="142">
        <v>917482</v>
      </c>
      <c r="M59" s="142">
        <v>969770</v>
      </c>
      <c r="N59" s="142">
        <v>978818</v>
      </c>
      <c r="O59" s="153">
        <v>942998</v>
      </c>
      <c r="P59" s="123">
        <f t="shared" si="17"/>
        <v>12051196.5</v>
      </c>
      <c r="Q59" s="92">
        <f t="shared" si="18"/>
        <v>12203.416666666666</v>
      </c>
      <c r="R59" s="79">
        <f t="shared" si="19"/>
        <v>11126</v>
      </c>
      <c r="S59" s="93">
        <f t="shared" si="20"/>
        <v>1077.4166666666661</v>
      </c>
      <c r="T59" s="86">
        <f t="shared" si="21"/>
        <v>12928.999999999993</v>
      </c>
      <c r="U59" s="83">
        <f t="shared" si="10"/>
        <v>1.3901119164277052</v>
      </c>
      <c r="V59" s="101"/>
      <c r="W59" s="98">
        <f t="shared" si="11"/>
        <v>0.2664830889695704</v>
      </c>
      <c r="X59" s="98"/>
      <c r="Y59" s="78">
        <f t="shared" si="12"/>
        <v>1368.5</v>
      </c>
      <c r="Z59" s="78">
        <f t="shared" si="12"/>
        <v>1368.5</v>
      </c>
      <c r="AA59" s="78">
        <f t="shared" si="12"/>
        <v>-3446</v>
      </c>
      <c r="AB59" s="78">
        <f t="shared" si="12"/>
        <v>20426</v>
      </c>
      <c r="AC59" s="78">
        <f t="shared" si="12"/>
        <v>-48878</v>
      </c>
      <c r="AD59" s="78">
        <f t="shared" si="12"/>
        <v>-70</v>
      </c>
      <c r="AE59" s="78">
        <f t="shared" si="12"/>
        <v>5273</v>
      </c>
      <c r="AF59" s="78">
        <f t="shared" si="12"/>
        <v>-45298</v>
      </c>
      <c r="AG59" s="78">
        <f t="shared" si="12"/>
        <v>56669</v>
      </c>
      <c r="AH59" s="78">
        <f t="shared" si="12"/>
        <v>52288</v>
      </c>
      <c r="AI59" s="78">
        <f t="shared" si="12"/>
        <v>9048</v>
      </c>
      <c r="AJ59" s="78">
        <f t="shared" si="12"/>
        <v>-35820</v>
      </c>
      <c r="AK59" s="78">
        <f t="shared" si="13"/>
        <v>-133512</v>
      </c>
      <c r="AL59" s="78">
        <f t="shared" si="14"/>
        <v>146441</v>
      </c>
      <c r="AM59" s="78">
        <f t="shared" si="15"/>
        <v>0</v>
      </c>
      <c r="AN59" s="78"/>
      <c r="AO59" s="78">
        <f t="shared" si="22"/>
        <v>-11126</v>
      </c>
      <c r="AP59" s="78">
        <f t="shared" si="22"/>
        <v>12203.416666666666</v>
      </c>
      <c r="AQ59" s="82">
        <f t="shared" si="23"/>
        <v>1077.4166666666661</v>
      </c>
      <c r="AR59" s="82">
        <f t="shared" si="16"/>
        <v>0</v>
      </c>
      <c r="AT59" s="82"/>
      <c r="AU59" s="82"/>
      <c r="AV59" s="82"/>
      <c r="AW59" s="82"/>
      <c r="AX59" s="82"/>
    </row>
    <row r="60" spans="2:50" x14ac:dyDescent="0.75">
      <c r="B60" s="130" t="s">
        <v>52</v>
      </c>
      <c r="C60" s="142">
        <v>14377</v>
      </c>
      <c r="D60" s="142">
        <v>15367.6</v>
      </c>
      <c r="E60" s="142">
        <v>16358.2</v>
      </c>
      <c r="F60" s="142">
        <v>16721.900000000001</v>
      </c>
      <c r="G60" s="142">
        <v>16803.3</v>
      </c>
      <c r="H60" s="142">
        <v>16880.2</v>
      </c>
      <c r="I60" s="142">
        <v>16880.2</v>
      </c>
      <c r="J60" s="142">
        <v>17184</v>
      </c>
      <c r="K60" s="142">
        <v>16395.8</v>
      </c>
      <c r="L60" s="142">
        <v>17071.599999999999</v>
      </c>
      <c r="M60" s="142">
        <v>16376.6</v>
      </c>
      <c r="N60" s="142">
        <v>18278.400000000001</v>
      </c>
      <c r="O60" s="153">
        <v>21670.799999999999</v>
      </c>
      <c r="P60" s="123">
        <f t="shared" si="17"/>
        <v>220365.59999999998</v>
      </c>
      <c r="Q60" s="92">
        <f t="shared" si="18"/>
        <v>731.41666666666652</v>
      </c>
      <c r="R60" s="79">
        <f t="shared" si="19"/>
        <v>123.59999999999991</v>
      </c>
      <c r="S60" s="93">
        <f t="shared" si="20"/>
        <v>607.81666666666661</v>
      </c>
      <c r="T60" s="86">
        <f t="shared" si="21"/>
        <v>7293.7999999999993</v>
      </c>
      <c r="U60" s="83">
        <f t="shared" si="10"/>
        <v>50.73241983724003</v>
      </c>
      <c r="V60" s="101"/>
      <c r="W60" s="98">
        <f t="shared" si="11"/>
        <v>0.15033446935774256</v>
      </c>
      <c r="X60" s="98"/>
      <c r="Y60" s="78">
        <f t="shared" si="12"/>
        <v>990.60000000000036</v>
      </c>
      <c r="Z60" s="78">
        <f t="shared" si="12"/>
        <v>990.60000000000036</v>
      </c>
      <c r="AA60" s="78">
        <f t="shared" si="12"/>
        <v>363.70000000000073</v>
      </c>
      <c r="AB60" s="78">
        <f t="shared" si="12"/>
        <v>81.399999999997817</v>
      </c>
      <c r="AC60" s="78">
        <f t="shared" si="12"/>
        <v>76.900000000001455</v>
      </c>
      <c r="AD60" s="78">
        <f t="shared" si="12"/>
        <v>0</v>
      </c>
      <c r="AE60" s="78">
        <f t="shared" si="12"/>
        <v>303.79999999999927</v>
      </c>
      <c r="AF60" s="78">
        <f t="shared" si="12"/>
        <v>-788.20000000000073</v>
      </c>
      <c r="AG60" s="78">
        <f t="shared" si="12"/>
        <v>675.79999999999927</v>
      </c>
      <c r="AH60" s="78">
        <f t="shared" si="12"/>
        <v>-694.99999999999818</v>
      </c>
      <c r="AI60" s="78">
        <f t="shared" si="12"/>
        <v>1901.8000000000011</v>
      </c>
      <c r="AJ60" s="78">
        <f t="shared" si="12"/>
        <v>3392.3999999999978</v>
      </c>
      <c r="AK60" s="78">
        <f t="shared" si="13"/>
        <v>-1483.1999999999989</v>
      </c>
      <c r="AL60" s="78">
        <f t="shared" si="14"/>
        <v>8776.9999999999982</v>
      </c>
      <c r="AM60" s="78">
        <f t="shared" si="15"/>
        <v>0</v>
      </c>
      <c r="AN60" s="78"/>
      <c r="AO60" s="78">
        <f t="shared" si="22"/>
        <v>-123.59999999999991</v>
      </c>
      <c r="AP60" s="78">
        <f t="shared" si="22"/>
        <v>731.41666666666652</v>
      </c>
      <c r="AQ60" s="82">
        <f t="shared" si="23"/>
        <v>607.81666666666661</v>
      </c>
      <c r="AR60" s="82">
        <f t="shared" si="16"/>
        <v>0</v>
      </c>
      <c r="AT60" s="82"/>
      <c r="AU60" s="82"/>
      <c r="AV60" s="82"/>
      <c r="AW60" s="82"/>
      <c r="AX60" s="82"/>
    </row>
    <row r="61" spans="2:50" x14ac:dyDescent="0.75">
      <c r="B61" s="130" t="s">
        <v>54</v>
      </c>
      <c r="C61" s="142">
        <v>43462.3</v>
      </c>
      <c r="D61" s="142">
        <v>49012.800000000003</v>
      </c>
      <c r="E61" s="142">
        <v>54563.3</v>
      </c>
      <c r="F61" s="142">
        <v>54563.3</v>
      </c>
      <c r="G61" s="142">
        <v>65249.9</v>
      </c>
      <c r="H61" s="142">
        <v>65378.5</v>
      </c>
      <c r="I61" s="142">
        <v>65378.5</v>
      </c>
      <c r="J61" s="142">
        <v>65760.399999999994</v>
      </c>
      <c r="K61" s="142">
        <v>62139.3</v>
      </c>
      <c r="L61" s="142">
        <v>65070.9</v>
      </c>
      <c r="M61" s="142">
        <v>65343.8</v>
      </c>
      <c r="N61" s="142">
        <v>70691.7</v>
      </c>
      <c r="O61" s="153">
        <v>68599.7</v>
      </c>
      <c r="P61" s="123">
        <f t="shared" si="17"/>
        <v>795214.4</v>
      </c>
      <c r="Q61" s="92">
        <f t="shared" si="18"/>
        <v>2570.8749999999986</v>
      </c>
      <c r="R61" s="79">
        <f t="shared" si="19"/>
        <v>476.09166666666596</v>
      </c>
      <c r="S61" s="93">
        <f t="shared" si="20"/>
        <v>2094.7833333333328</v>
      </c>
      <c r="T61" s="86">
        <f t="shared" si="21"/>
        <v>25137.399999999994</v>
      </c>
      <c r="U61" s="83">
        <f t="shared" si="10"/>
        <v>57.837252055229463</v>
      </c>
      <c r="V61" s="101"/>
      <c r="W61" s="98">
        <f t="shared" si="11"/>
        <v>0.51811369793980055</v>
      </c>
      <c r="X61" s="98"/>
      <c r="Y61" s="78">
        <f t="shared" si="12"/>
        <v>5550.5</v>
      </c>
      <c r="Z61" s="78">
        <f t="shared" si="12"/>
        <v>5550.5</v>
      </c>
      <c r="AA61" s="78">
        <f t="shared" si="12"/>
        <v>0</v>
      </c>
      <c r="AB61" s="78">
        <f t="shared" si="12"/>
        <v>10686.599999999999</v>
      </c>
      <c r="AC61" s="78">
        <f t="shared" si="12"/>
        <v>128.59999999999854</v>
      </c>
      <c r="AD61" s="78">
        <f t="shared" si="12"/>
        <v>0</v>
      </c>
      <c r="AE61" s="78">
        <f t="shared" si="12"/>
        <v>381.89999999999418</v>
      </c>
      <c r="AF61" s="78">
        <f t="shared" si="12"/>
        <v>-3621.0999999999913</v>
      </c>
      <c r="AG61" s="78">
        <f t="shared" si="12"/>
        <v>2931.5999999999985</v>
      </c>
      <c r="AH61" s="78">
        <f t="shared" si="12"/>
        <v>272.90000000000146</v>
      </c>
      <c r="AI61" s="78">
        <f t="shared" si="12"/>
        <v>5347.8999999999942</v>
      </c>
      <c r="AJ61" s="78">
        <f t="shared" si="12"/>
        <v>-2092</v>
      </c>
      <c r="AK61" s="78">
        <f t="shared" si="13"/>
        <v>-5713.0999999999913</v>
      </c>
      <c r="AL61" s="78">
        <f t="shared" si="14"/>
        <v>30850.499999999985</v>
      </c>
      <c r="AM61" s="78">
        <f t="shared" si="15"/>
        <v>0</v>
      </c>
      <c r="AN61" s="78"/>
      <c r="AO61" s="78">
        <f t="shared" si="22"/>
        <v>-476.09166666666596</v>
      </c>
      <c r="AP61" s="78">
        <f t="shared" si="22"/>
        <v>2570.8749999999986</v>
      </c>
      <c r="AQ61" s="82">
        <f t="shared" si="23"/>
        <v>2094.7833333333328</v>
      </c>
      <c r="AR61" s="82">
        <f t="shared" si="16"/>
        <v>0</v>
      </c>
      <c r="AT61" s="82"/>
      <c r="AU61" s="82"/>
      <c r="AV61" s="82"/>
      <c r="AW61" s="82"/>
      <c r="AX61" s="82"/>
    </row>
    <row r="62" spans="2:50" x14ac:dyDescent="0.75">
      <c r="B62" s="130" t="s">
        <v>115</v>
      </c>
      <c r="C62" s="142">
        <v>10931.7</v>
      </c>
      <c r="D62" s="142">
        <v>10931.7</v>
      </c>
      <c r="E62" s="142">
        <v>10931.7</v>
      </c>
      <c r="F62" s="142">
        <v>10931.7</v>
      </c>
      <c r="G62" s="142">
        <v>10973.6</v>
      </c>
      <c r="H62" s="142">
        <v>10973.6</v>
      </c>
      <c r="I62" s="142">
        <v>11043.9</v>
      </c>
      <c r="J62" s="142">
        <v>11463.2</v>
      </c>
      <c r="K62" s="142">
        <v>11458.9</v>
      </c>
      <c r="L62" s="142">
        <v>11388.1</v>
      </c>
      <c r="M62" s="142">
        <v>11388.1</v>
      </c>
      <c r="N62" s="142">
        <v>48795.199999999997</v>
      </c>
      <c r="O62" s="153">
        <v>45504.6</v>
      </c>
      <c r="P62" s="123">
        <f>SUM(C62:O62)</f>
        <v>216716</v>
      </c>
      <c r="Q62" s="92">
        <f t="shared" si="18"/>
        <v>3161.5499999999997</v>
      </c>
      <c r="R62" s="79">
        <f t="shared" si="19"/>
        <v>280.47499999999991</v>
      </c>
      <c r="S62" s="93">
        <f t="shared" si="20"/>
        <v>2881.0749999999998</v>
      </c>
      <c r="T62" s="86">
        <f t="shared" si="21"/>
        <v>34572.899999999994</v>
      </c>
      <c r="U62" s="83">
        <f t="shared" si="10"/>
        <v>316.26279535662331</v>
      </c>
      <c r="V62" s="101"/>
      <c r="W62" s="98">
        <f t="shared" si="11"/>
        <v>0.71259132080099497</v>
      </c>
      <c r="X62" s="98"/>
      <c r="Y62" s="78">
        <f t="shared" si="12"/>
        <v>0</v>
      </c>
      <c r="Z62" s="78">
        <f t="shared" si="12"/>
        <v>0</v>
      </c>
      <c r="AA62" s="78">
        <f t="shared" si="12"/>
        <v>0</v>
      </c>
      <c r="AB62" s="78">
        <f t="shared" si="12"/>
        <v>41.899999999999636</v>
      </c>
      <c r="AC62" s="78">
        <f t="shared" si="12"/>
        <v>0</v>
      </c>
      <c r="AD62" s="78">
        <f t="shared" si="12"/>
        <v>70.299999999999272</v>
      </c>
      <c r="AE62" s="78">
        <f t="shared" si="12"/>
        <v>419.30000000000109</v>
      </c>
      <c r="AF62" s="78">
        <f t="shared" si="12"/>
        <v>-4.3000000000010914</v>
      </c>
      <c r="AG62" s="78">
        <f t="shared" si="12"/>
        <v>-70.799999999999272</v>
      </c>
      <c r="AH62" s="78">
        <f t="shared" si="12"/>
        <v>0</v>
      </c>
      <c r="AI62" s="78">
        <f t="shared" si="12"/>
        <v>37407.1</v>
      </c>
      <c r="AJ62" s="78">
        <f t="shared" si="12"/>
        <v>-3290.5999999999985</v>
      </c>
      <c r="AK62" s="78">
        <f t="shared" si="13"/>
        <v>-3365.6999999999989</v>
      </c>
      <c r="AL62" s="78">
        <f t="shared" si="14"/>
        <v>37938.6</v>
      </c>
      <c r="AM62" s="78">
        <f t="shared" si="15"/>
        <v>0</v>
      </c>
      <c r="AN62" s="78"/>
      <c r="AO62" s="78">
        <f t="shared" si="22"/>
        <v>-280.47499999999991</v>
      </c>
      <c r="AP62" s="78">
        <f t="shared" si="22"/>
        <v>3161.5499999999997</v>
      </c>
      <c r="AQ62" s="82">
        <f t="shared" si="23"/>
        <v>2881.0749999999998</v>
      </c>
      <c r="AR62" s="82">
        <f t="shared" si="16"/>
        <v>0</v>
      </c>
      <c r="AT62" s="82"/>
      <c r="AU62" s="82"/>
      <c r="AV62" s="82"/>
      <c r="AW62" s="82"/>
      <c r="AX62" s="82"/>
    </row>
    <row r="63" spans="2:50" x14ac:dyDescent="0.75">
      <c r="B63" s="130" t="s">
        <v>68</v>
      </c>
      <c r="C63" s="143">
        <v>0</v>
      </c>
      <c r="D63" s="142">
        <v>0</v>
      </c>
      <c r="E63" s="142">
        <v>0</v>
      </c>
      <c r="F63" s="142">
        <v>0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448.15699999999998</v>
      </c>
      <c r="O63" s="153">
        <v>79.672200000000004</v>
      </c>
      <c r="P63" s="123">
        <f t="shared" si="17"/>
        <v>527.82920000000001</v>
      </c>
      <c r="Q63" s="92">
        <f t="shared" si="18"/>
        <v>37.346416666666663</v>
      </c>
      <c r="R63" s="79">
        <f t="shared" si="19"/>
        <v>30.707066666666663</v>
      </c>
      <c r="S63" s="93">
        <f t="shared" si="20"/>
        <v>6.6393500000000003</v>
      </c>
      <c r="T63" s="86">
        <f t="shared" si="21"/>
        <v>79.672200000000004</v>
      </c>
      <c r="U63" s="94" t="e">
        <f t="shared" si="10"/>
        <v>#DIV/0!</v>
      </c>
      <c r="V63" s="101"/>
      <c r="W63" s="98">
        <f t="shared" si="11"/>
        <v>1.6421450971460607E-3</v>
      </c>
      <c r="X63" s="98"/>
      <c r="Y63" s="78">
        <f t="shared" si="12"/>
        <v>0</v>
      </c>
      <c r="Z63" s="78">
        <f t="shared" si="12"/>
        <v>0</v>
      </c>
      <c r="AA63" s="78">
        <f t="shared" si="12"/>
        <v>0</v>
      </c>
      <c r="AB63" s="78">
        <f t="shared" si="12"/>
        <v>0</v>
      </c>
      <c r="AC63" s="78">
        <f t="shared" si="12"/>
        <v>0</v>
      </c>
      <c r="AD63" s="78">
        <f t="shared" si="12"/>
        <v>0</v>
      </c>
      <c r="AE63" s="78">
        <f t="shared" si="12"/>
        <v>0</v>
      </c>
      <c r="AF63" s="78">
        <f t="shared" si="12"/>
        <v>0</v>
      </c>
      <c r="AG63" s="78">
        <f t="shared" si="12"/>
        <v>0</v>
      </c>
      <c r="AH63" s="78">
        <f t="shared" si="12"/>
        <v>0</v>
      </c>
      <c r="AI63" s="78">
        <f t="shared" si="12"/>
        <v>448.15699999999998</v>
      </c>
      <c r="AJ63" s="78">
        <f t="shared" si="12"/>
        <v>-368.48479999999995</v>
      </c>
      <c r="AK63" s="78">
        <f t="shared" si="13"/>
        <v>-368.48479999999995</v>
      </c>
      <c r="AL63" s="78">
        <f t="shared" si="14"/>
        <v>448.15699999999998</v>
      </c>
      <c r="AM63" s="78">
        <f t="shared" si="15"/>
        <v>0</v>
      </c>
      <c r="AN63" s="78"/>
      <c r="AO63" s="78">
        <f t="shared" si="22"/>
        <v>-30.707066666666663</v>
      </c>
      <c r="AP63" s="78">
        <f t="shared" si="22"/>
        <v>37.346416666666663</v>
      </c>
      <c r="AQ63" s="82">
        <f t="shared" si="23"/>
        <v>6.6393500000000003</v>
      </c>
      <c r="AR63" s="82">
        <f t="shared" si="16"/>
        <v>0</v>
      </c>
      <c r="AT63" s="82"/>
      <c r="AU63" s="82"/>
      <c r="AV63" s="82"/>
      <c r="AW63" s="82"/>
      <c r="AX63" s="82"/>
    </row>
    <row r="64" spans="2:50" x14ac:dyDescent="0.75">
      <c r="B64" s="130" t="s">
        <v>58</v>
      </c>
      <c r="C64" s="142">
        <v>158.70400000000001</v>
      </c>
      <c r="D64" s="142">
        <v>158.70400000000001</v>
      </c>
      <c r="E64" s="142">
        <v>158.70400000000001</v>
      </c>
      <c r="F64" s="142">
        <v>158.70400000000001</v>
      </c>
      <c r="G64" s="142">
        <v>158.70400000000001</v>
      </c>
      <c r="H64" s="142">
        <v>158.70400000000001</v>
      </c>
      <c r="I64" s="142">
        <v>158.70400000000001</v>
      </c>
      <c r="J64" s="142">
        <v>158.70400000000001</v>
      </c>
      <c r="K64" s="142">
        <v>158.70400000000001</v>
      </c>
      <c r="L64" s="142">
        <v>158.70400000000001</v>
      </c>
      <c r="M64" s="142">
        <v>158.70400000000001</v>
      </c>
      <c r="N64" s="142">
        <v>175.21</v>
      </c>
      <c r="O64" s="153">
        <v>175</v>
      </c>
      <c r="P64" s="123">
        <f t="shared" si="17"/>
        <v>2095.9539999999997</v>
      </c>
      <c r="Q64" s="92">
        <f t="shared" si="18"/>
        <v>1.3754999999999999</v>
      </c>
      <c r="R64" s="79">
        <f t="shared" si="19"/>
        <v>1.7500000000000664E-2</v>
      </c>
      <c r="S64" s="93">
        <f t="shared" si="20"/>
        <v>1.3579999999999992</v>
      </c>
      <c r="T64" s="86">
        <f t="shared" si="21"/>
        <v>16.295999999999992</v>
      </c>
      <c r="U64" s="83">
        <f t="shared" si="10"/>
        <v>10.268172194777694</v>
      </c>
      <c r="V64" s="101"/>
      <c r="W64" s="98">
        <f t="shared" si="11"/>
        <v>3.3588122962704926E-4</v>
      </c>
      <c r="X64" s="98"/>
      <c r="Y64" s="78">
        <f t="shared" si="12"/>
        <v>0</v>
      </c>
      <c r="Z64" s="78">
        <f t="shared" si="12"/>
        <v>0</v>
      </c>
      <c r="AA64" s="78">
        <f t="shared" si="12"/>
        <v>0</v>
      </c>
      <c r="AB64" s="78">
        <f t="shared" si="12"/>
        <v>0</v>
      </c>
      <c r="AC64" s="78">
        <f t="shared" si="12"/>
        <v>0</v>
      </c>
      <c r="AD64" s="78">
        <f t="shared" si="12"/>
        <v>0</v>
      </c>
      <c r="AE64" s="78">
        <f t="shared" si="12"/>
        <v>0</v>
      </c>
      <c r="AF64" s="78">
        <f t="shared" si="12"/>
        <v>0</v>
      </c>
      <c r="AG64" s="78">
        <f t="shared" si="12"/>
        <v>0</v>
      </c>
      <c r="AH64" s="78">
        <f t="shared" si="12"/>
        <v>0</v>
      </c>
      <c r="AI64" s="78">
        <f t="shared" si="12"/>
        <v>16.506</v>
      </c>
      <c r="AJ64" s="78">
        <f t="shared" si="12"/>
        <v>-0.21000000000000796</v>
      </c>
      <c r="AK64" s="78">
        <f t="shared" si="13"/>
        <v>-0.21000000000000796</v>
      </c>
      <c r="AL64" s="78">
        <f t="shared" si="14"/>
        <v>16.506</v>
      </c>
      <c r="AM64" s="78">
        <f t="shared" si="15"/>
        <v>0</v>
      </c>
      <c r="AN64" s="78"/>
      <c r="AO64" s="78">
        <f t="shared" si="22"/>
        <v>-1.7500000000000664E-2</v>
      </c>
      <c r="AP64" s="78">
        <f t="shared" si="22"/>
        <v>1.3754999999999999</v>
      </c>
      <c r="AQ64" s="82">
        <f t="shared" si="23"/>
        <v>1.3579999999999992</v>
      </c>
      <c r="AR64" s="82">
        <f t="shared" si="16"/>
        <v>0</v>
      </c>
      <c r="AT64" s="82"/>
      <c r="AU64" s="82"/>
      <c r="AV64" s="82"/>
      <c r="AW64" s="82"/>
      <c r="AX64" s="82"/>
    </row>
    <row r="65" spans="2:50" x14ac:dyDescent="0.75">
      <c r="B65" s="130" t="s">
        <v>60</v>
      </c>
      <c r="C65" s="142">
        <v>36638</v>
      </c>
      <c r="D65" s="142">
        <v>41429.599999999999</v>
      </c>
      <c r="E65" s="142">
        <v>46221.2</v>
      </c>
      <c r="F65" s="142">
        <v>46221.2</v>
      </c>
      <c r="G65" s="142">
        <v>46221.2</v>
      </c>
      <c r="H65" s="142">
        <v>46221.2</v>
      </c>
      <c r="I65" s="142">
        <v>46221.2</v>
      </c>
      <c r="J65" s="142">
        <v>46440.4</v>
      </c>
      <c r="K65" s="142">
        <v>46440.4</v>
      </c>
      <c r="L65" s="142">
        <v>46151.8</v>
      </c>
      <c r="M65" s="142">
        <v>45503.7</v>
      </c>
      <c r="N65" s="142">
        <v>26525.599999999999</v>
      </c>
      <c r="O65" s="153">
        <v>25575</v>
      </c>
      <c r="P65" s="123">
        <f t="shared" si="17"/>
        <v>545810.5</v>
      </c>
      <c r="Q65" s="92">
        <f t="shared" si="18"/>
        <v>816.86666666666679</v>
      </c>
      <c r="R65" s="79">
        <f t="shared" si="19"/>
        <v>1738.7833333333335</v>
      </c>
      <c r="S65" s="93">
        <f t="shared" si="20"/>
        <v>-921.91666666666674</v>
      </c>
      <c r="T65" s="86">
        <f t="shared" si="21"/>
        <v>-11063</v>
      </c>
      <c r="U65" s="83">
        <f t="shared" si="10"/>
        <v>-30.195425514493149</v>
      </c>
      <c r="V65" s="101"/>
      <c r="W65" s="98">
        <f t="shared" si="11"/>
        <v>-0.22802246216028765</v>
      </c>
      <c r="X65" s="98"/>
      <c r="Y65" s="78">
        <f t="shared" si="12"/>
        <v>4791.5999999999985</v>
      </c>
      <c r="Z65" s="78">
        <f t="shared" si="12"/>
        <v>4791.5999999999985</v>
      </c>
      <c r="AA65" s="78">
        <f t="shared" si="12"/>
        <v>0</v>
      </c>
      <c r="AB65" s="78">
        <f t="shared" si="12"/>
        <v>0</v>
      </c>
      <c r="AC65" s="78">
        <f t="shared" si="12"/>
        <v>0</v>
      </c>
      <c r="AD65" s="78">
        <f t="shared" si="12"/>
        <v>0</v>
      </c>
      <c r="AE65" s="78">
        <f t="shared" si="12"/>
        <v>219.20000000000437</v>
      </c>
      <c r="AF65" s="78">
        <f t="shared" si="12"/>
        <v>0</v>
      </c>
      <c r="AG65" s="78">
        <f t="shared" si="12"/>
        <v>-288.59999999999854</v>
      </c>
      <c r="AH65" s="78">
        <f t="shared" si="12"/>
        <v>-648.10000000000582</v>
      </c>
      <c r="AI65" s="78">
        <f t="shared" si="12"/>
        <v>-18978.099999999999</v>
      </c>
      <c r="AJ65" s="78">
        <f t="shared" si="12"/>
        <v>-950.59999999999854</v>
      </c>
      <c r="AK65" s="78">
        <f t="shared" si="13"/>
        <v>-20865.400000000001</v>
      </c>
      <c r="AL65" s="78">
        <f t="shared" si="14"/>
        <v>9802.4000000000015</v>
      </c>
      <c r="AM65" s="78">
        <f t="shared" si="15"/>
        <v>0</v>
      </c>
      <c r="AN65" s="78"/>
      <c r="AO65" s="78">
        <f t="shared" si="22"/>
        <v>-1738.7833333333335</v>
      </c>
      <c r="AP65" s="78">
        <f t="shared" si="22"/>
        <v>816.86666666666679</v>
      </c>
      <c r="AQ65" s="82">
        <f t="shared" si="23"/>
        <v>-921.91666666666674</v>
      </c>
      <c r="AR65" s="82">
        <f t="shared" si="16"/>
        <v>0</v>
      </c>
      <c r="AT65" s="82"/>
      <c r="AU65" s="82"/>
      <c r="AV65" s="82"/>
      <c r="AW65" s="82"/>
      <c r="AX65" s="82"/>
    </row>
    <row r="66" spans="2:50" x14ac:dyDescent="0.75">
      <c r="B66" s="130" t="s">
        <v>62</v>
      </c>
      <c r="C66" s="142">
        <v>394375</v>
      </c>
      <c r="D66" s="142">
        <v>456595.5</v>
      </c>
      <c r="E66" s="142">
        <v>518816</v>
      </c>
      <c r="F66" s="142">
        <v>521051</v>
      </c>
      <c r="G66" s="142">
        <v>527044</v>
      </c>
      <c r="H66" s="142">
        <v>527044</v>
      </c>
      <c r="I66" s="142">
        <v>527034</v>
      </c>
      <c r="J66" s="142">
        <v>530472</v>
      </c>
      <c r="K66" s="142">
        <v>529565</v>
      </c>
      <c r="L66" s="142">
        <v>516113</v>
      </c>
      <c r="M66" s="142">
        <v>554354</v>
      </c>
      <c r="N66" s="142">
        <v>532291</v>
      </c>
      <c r="O66" s="153">
        <v>437538</v>
      </c>
      <c r="P66" s="123">
        <f t="shared" si="17"/>
        <v>6572292.5</v>
      </c>
      <c r="Q66" s="92">
        <f t="shared" si="18"/>
        <v>14529</v>
      </c>
      <c r="R66" s="79">
        <f t="shared" si="19"/>
        <v>10932.083333333334</v>
      </c>
      <c r="S66" s="93">
        <f t="shared" si="20"/>
        <v>3596.9166666666661</v>
      </c>
      <c r="T66" s="86">
        <f t="shared" si="21"/>
        <v>43162.999999999993</v>
      </c>
      <c r="U66" s="83">
        <f t="shared" si="10"/>
        <v>10.944659270998413</v>
      </c>
      <c r="V66" s="101"/>
      <c r="W66" s="98">
        <f t="shared" si="11"/>
        <v>0.88964417736820878</v>
      </c>
      <c r="X66" s="98"/>
      <c r="Y66" s="78">
        <f t="shared" si="12"/>
        <v>62220.5</v>
      </c>
      <c r="Z66" s="78">
        <f t="shared" si="12"/>
        <v>62220.5</v>
      </c>
      <c r="AA66" s="78">
        <f t="shared" si="12"/>
        <v>2235</v>
      </c>
      <c r="AB66" s="78">
        <f t="shared" si="12"/>
        <v>5993</v>
      </c>
      <c r="AC66" s="78">
        <f t="shared" si="12"/>
        <v>0</v>
      </c>
      <c r="AD66" s="78">
        <f t="shared" si="12"/>
        <v>-10</v>
      </c>
      <c r="AE66" s="78">
        <f t="shared" si="12"/>
        <v>3438</v>
      </c>
      <c r="AF66" s="78">
        <f t="shared" si="12"/>
        <v>-907</v>
      </c>
      <c r="AG66" s="78">
        <f t="shared" si="12"/>
        <v>-13452</v>
      </c>
      <c r="AH66" s="78">
        <f t="shared" si="12"/>
        <v>38241</v>
      </c>
      <c r="AI66" s="78">
        <f t="shared" si="12"/>
        <v>-22063</v>
      </c>
      <c r="AJ66" s="78">
        <f t="shared" si="12"/>
        <v>-94753</v>
      </c>
      <c r="AK66" s="78">
        <f>SUMIF(Y66:AJ66,"&lt;0")</f>
        <v>-131185</v>
      </c>
      <c r="AL66" s="78">
        <f>SUMIF(Y66:AJ66,"&gt;0")</f>
        <v>174348</v>
      </c>
      <c r="AM66" s="78">
        <f t="shared" si="15"/>
        <v>0</v>
      </c>
      <c r="AN66" s="78"/>
      <c r="AO66" s="78">
        <f t="shared" si="22"/>
        <v>-10932.083333333334</v>
      </c>
      <c r="AP66" s="78">
        <f t="shared" si="22"/>
        <v>14529</v>
      </c>
      <c r="AQ66" s="82">
        <f t="shared" si="23"/>
        <v>3596.9166666666661</v>
      </c>
      <c r="AR66" s="82">
        <f t="shared" si="16"/>
        <v>0</v>
      </c>
      <c r="AT66" s="82"/>
      <c r="AU66" s="82"/>
      <c r="AV66" s="82"/>
      <c r="AW66" s="82"/>
      <c r="AX66" s="82"/>
    </row>
    <row r="67" spans="2:50" x14ac:dyDescent="0.75">
      <c r="T67" s="95"/>
      <c r="U67" s="95"/>
      <c r="V67" s="102"/>
    </row>
    <row r="71" spans="2:50" x14ac:dyDescent="0.75">
      <c r="B71" s="124" t="s">
        <v>113</v>
      </c>
      <c r="C71" s="134">
        <v>1990</v>
      </c>
      <c r="D71" s="147">
        <v>1996</v>
      </c>
      <c r="E71" s="147">
        <v>2000</v>
      </c>
      <c r="F71" s="147">
        <v>2003</v>
      </c>
      <c r="G71" s="147">
        <v>2006</v>
      </c>
      <c r="H71" s="147">
        <v>2009</v>
      </c>
      <c r="I71" s="147">
        <v>2011</v>
      </c>
      <c r="J71" s="147">
        <v>2014</v>
      </c>
      <c r="K71" s="147">
        <v>2015</v>
      </c>
      <c r="L71" s="147">
        <v>2016</v>
      </c>
      <c r="M71" s="147">
        <v>2017</v>
      </c>
      <c r="N71" s="147">
        <v>2018</v>
      </c>
      <c r="O71" s="151">
        <v>2019</v>
      </c>
    </row>
    <row r="72" spans="2:50" x14ac:dyDescent="0.75">
      <c r="B72" s="130" t="s">
        <v>26</v>
      </c>
      <c r="C72" s="146">
        <v>694737</v>
      </c>
      <c r="D72" s="146">
        <v>664756.5</v>
      </c>
      <c r="E72" s="146">
        <v>634776</v>
      </c>
      <c r="F72" s="146">
        <v>619004</v>
      </c>
      <c r="G72" s="146">
        <v>598828</v>
      </c>
      <c r="H72" s="146">
        <v>553728</v>
      </c>
      <c r="I72" s="146">
        <v>553098</v>
      </c>
      <c r="J72" s="146">
        <v>543670</v>
      </c>
      <c r="K72" s="146">
        <v>529715</v>
      </c>
      <c r="L72" s="146">
        <v>522977</v>
      </c>
      <c r="M72" s="146">
        <v>519144</v>
      </c>
      <c r="N72" s="146">
        <v>401879</v>
      </c>
      <c r="O72" s="155">
        <v>500359</v>
      </c>
    </row>
    <row r="73" spans="2:50" x14ac:dyDescent="0.75">
      <c r="B73" s="130" t="s">
        <v>28</v>
      </c>
      <c r="C73" s="146">
        <v>638049</v>
      </c>
      <c r="D73" s="146">
        <v>620772.5</v>
      </c>
      <c r="E73" s="146">
        <v>603496</v>
      </c>
      <c r="F73" s="146">
        <v>618381</v>
      </c>
      <c r="G73" s="146">
        <v>627494</v>
      </c>
      <c r="H73" s="146">
        <v>672086</v>
      </c>
      <c r="I73" s="146">
        <v>672425</v>
      </c>
      <c r="J73" s="146">
        <v>678803</v>
      </c>
      <c r="K73" s="146">
        <v>664888</v>
      </c>
      <c r="L73" s="146">
        <v>654663</v>
      </c>
      <c r="M73" s="146">
        <v>652518</v>
      </c>
      <c r="N73" s="146">
        <v>732934</v>
      </c>
      <c r="O73" s="155">
        <v>631295</v>
      </c>
    </row>
    <row r="74" spans="2:50" x14ac:dyDescent="0.75">
      <c r="B74" s="130" t="s">
        <v>30</v>
      </c>
      <c r="C74" s="141">
        <v>208727</v>
      </c>
      <c r="D74" s="141">
        <v>207345</v>
      </c>
      <c r="E74" s="141">
        <v>205963</v>
      </c>
      <c r="F74" s="141">
        <v>201768</v>
      </c>
      <c r="G74" s="141">
        <v>196510</v>
      </c>
      <c r="H74" s="141">
        <v>196510</v>
      </c>
      <c r="I74" s="141">
        <v>196510</v>
      </c>
      <c r="J74" s="141">
        <v>197808</v>
      </c>
      <c r="K74" s="141">
        <v>196758</v>
      </c>
      <c r="L74" s="141">
        <v>195162</v>
      </c>
      <c r="M74" s="141">
        <v>195007</v>
      </c>
      <c r="N74" s="141">
        <v>195660</v>
      </c>
      <c r="O74" s="152">
        <v>195384</v>
      </c>
    </row>
    <row r="75" spans="2:50" x14ac:dyDescent="0.75">
      <c r="B75" s="130" t="s">
        <v>46</v>
      </c>
      <c r="C75" s="141">
        <v>25345.3</v>
      </c>
      <c r="D75" s="141">
        <v>24208.9</v>
      </c>
      <c r="E75" s="141">
        <v>23072.5</v>
      </c>
      <c r="F75" s="141">
        <v>25776.2</v>
      </c>
      <c r="G75" s="141">
        <v>23677.9</v>
      </c>
      <c r="H75" s="141">
        <v>23574</v>
      </c>
      <c r="I75" s="141">
        <v>23574</v>
      </c>
      <c r="J75" s="141">
        <v>23675.4</v>
      </c>
      <c r="K75" s="141">
        <v>23520.7</v>
      </c>
      <c r="L75" s="141">
        <v>23876.400000000001</v>
      </c>
      <c r="M75" s="141">
        <v>23829.200000000001</v>
      </c>
      <c r="N75" s="141">
        <v>23931.9</v>
      </c>
      <c r="O75" s="152">
        <v>24059.599999999999</v>
      </c>
    </row>
    <row r="76" spans="2:50" x14ac:dyDescent="0.75">
      <c r="B76" s="130" t="s">
        <v>32</v>
      </c>
      <c r="C76" s="142">
        <v>342429</v>
      </c>
      <c r="D76" s="142">
        <v>329304</v>
      </c>
      <c r="E76" s="142">
        <v>316179</v>
      </c>
      <c r="F76" s="142">
        <v>292789</v>
      </c>
      <c r="G76" s="142">
        <v>238249</v>
      </c>
      <c r="H76" s="142">
        <v>205343</v>
      </c>
      <c r="I76" s="142">
        <v>205343</v>
      </c>
      <c r="J76" s="142">
        <v>206530</v>
      </c>
      <c r="K76" s="142">
        <v>202799</v>
      </c>
      <c r="L76" s="142">
        <v>200958</v>
      </c>
      <c r="M76" s="142">
        <v>200400</v>
      </c>
      <c r="N76" s="142">
        <v>202694</v>
      </c>
      <c r="O76" s="153">
        <v>202193</v>
      </c>
    </row>
    <row r="77" spans="2:50" x14ac:dyDescent="0.75">
      <c r="B77" s="130" t="s">
        <v>48</v>
      </c>
      <c r="C77" s="142">
        <v>531109</v>
      </c>
      <c r="D77" s="142">
        <v>419213</v>
      </c>
      <c r="E77" s="142">
        <v>307317</v>
      </c>
      <c r="F77" s="142">
        <v>313173</v>
      </c>
      <c r="G77" s="142">
        <v>338909</v>
      </c>
      <c r="H77" s="142">
        <v>371810</v>
      </c>
      <c r="I77" s="142">
        <v>371810</v>
      </c>
      <c r="J77" s="142">
        <v>374446</v>
      </c>
      <c r="K77" s="142">
        <v>359399</v>
      </c>
      <c r="L77" s="142">
        <v>356270</v>
      </c>
      <c r="M77" s="142">
        <v>358089</v>
      </c>
      <c r="N77" s="142">
        <v>357151</v>
      </c>
      <c r="O77" s="153">
        <v>531266</v>
      </c>
    </row>
    <row r="81" spans="1:15" x14ac:dyDescent="0.75">
      <c r="B81" s="124" t="s">
        <v>113</v>
      </c>
      <c r="C81" s="134">
        <v>1990</v>
      </c>
      <c r="D81" s="147">
        <v>1996</v>
      </c>
      <c r="E81" s="147">
        <v>2000</v>
      </c>
      <c r="F81" s="147">
        <v>2003</v>
      </c>
      <c r="G81" s="147">
        <v>2006</v>
      </c>
      <c r="H81" s="147">
        <v>2009</v>
      </c>
      <c r="I81" s="147">
        <v>2011</v>
      </c>
      <c r="J81" s="147">
        <v>2014</v>
      </c>
      <c r="K81" s="147">
        <v>2015</v>
      </c>
      <c r="L81" s="147">
        <v>2016</v>
      </c>
      <c r="M81" s="147">
        <v>2017</v>
      </c>
      <c r="N81" s="147">
        <v>2018</v>
      </c>
      <c r="O81" s="151">
        <v>2019</v>
      </c>
    </row>
    <row r="82" spans="1:15" x14ac:dyDescent="0.75">
      <c r="A82" s="124"/>
      <c r="B82" s="130" t="s">
        <v>34</v>
      </c>
      <c r="C82" s="141">
        <v>71945.899999999994</v>
      </c>
      <c r="D82" s="141">
        <v>124194.45</v>
      </c>
      <c r="E82" s="141">
        <v>176443</v>
      </c>
      <c r="F82" s="141">
        <v>177229</v>
      </c>
      <c r="G82" s="141">
        <v>178032</v>
      </c>
      <c r="H82" s="141">
        <v>178463</v>
      </c>
      <c r="I82" s="141">
        <v>177262</v>
      </c>
      <c r="J82" s="141">
        <v>174273</v>
      </c>
      <c r="K82" s="141">
        <v>169262</v>
      </c>
      <c r="L82" s="141">
        <v>166111</v>
      </c>
      <c r="M82" s="141">
        <v>170801</v>
      </c>
      <c r="N82" s="141">
        <v>169656</v>
      </c>
      <c r="O82" s="152">
        <v>129465</v>
      </c>
    </row>
    <row r="83" spans="1:15" ht="11" customHeight="1" x14ac:dyDescent="0.75">
      <c r="A83" s="124"/>
      <c r="B83" s="130" t="s">
        <v>66</v>
      </c>
      <c r="C83" s="143">
        <v>0</v>
      </c>
      <c r="D83" s="141">
        <v>0</v>
      </c>
      <c r="E83" s="141">
        <v>0</v>
      </c>
      <c r="F83" s="141">
        <v>101.02200000000001</v>
      </c>
      <c r="G83" s="141">
        <v>101.02200000000001</v>
      </c>
      <c r="H83" s="141">
        <v>101.02200000000001</v>
      </c>
      <c r="I83" s="141">
        <v>1533.15</v>
      </c>
      <c r="J83" s="141">
        <v>16535</v>
      </c>
      <c r="K83" s="141">
        <v>19885</v>
      </c>
      <c r="L83" s="141">
        <v>27397.200000000001</v>
      </c>
      <c r="M83" s="141">
        <v>53856.800000000003</v>
      </c>
      <c r="N83" s="141">
        <v>80231.399999999994</v>
      </c>
      <c r="O83" s="152">
        <v>94358.6</v>
      </c>
    </row>
    <row r="84" spans="1:15" x14ac:dyDescent="0.75">
      <c r="A84" s="124"/>
      <c r="B84" s="130" t="s">
        <v>36</v>
      </c>
      <c r="C84" s="141">
        <v>3159.73</v>
      </c>
      <c r="D84" s="141">
        <v>3365.5749999999998</v>
      </c>
      <c r="E84" s="141">
        <v>3571.42</v>
      </c>
      <c r="F84" s="141">
        <v>3667.19</v>
      </c>
      <c r="G84" s="141">
        <v>3890.97</v>
      </c>
      <c r="H84" s="141">
        <v>3890.97</v>
      </c>
      <c r="I84" s="141">
        <v>3890.97</v>
      </c>
      <c r="J84" s="141">
        <v>3916.67</v>
      </c>
      <c r="K84" s="141">
        <v>3653.09</v>
      </c>
      <c r="L84" s="141">
        <v>3878.1</v>
      </c>
      <c r="M84" s="141">
        <v>3480.02</v>
      </c>
      <c r="N84" s="141">
        <v>7216.4</v>
      </c>
      <c r="O84" s="152">
        <v>7089.96</v>
      </c>
    </row>
    <row r="85" spans="1:15" x14ac:dyDescent="0.75">
      <c r="B85" s="130" t="s">
        <v>38</v>
      </c>
      <c r="C85" s="141">
        <v>81713.600000000006</v>
      </c>
      <c r="D85" s="141">
        <v>51759.350000000006</v>
      </c>
      <c r="E85" s="141">
        <v>21805.1</v>
      </c>
      <c r="F85" s="141">
        <v>21805.1</v>
      </c>
      <c r="G85" s="141">
        <v>21853.200000000001</v>
      </c>
      <c r="H85" s="141">
        <v>21853.200000000001</v>
      </c>
      <c r="I85" s="141">
        <v>21912.9</v>
      </c>
      <c r="J85" s="141">
        <v>23500.799999999999</v>
      </c>
      <c r="K85" s="141">
        <v>263859</v>
      </c>
      <c r="L85" s="141">
        <v>75080.7</v>
      </c>
      <c r="M85" s="141">
        <v>56539</v>
      </c>
      <c r="N85" s="141">
        <v>77994.3</v>
      </c>
      <c r="O85" s="152">
        <v>88946.1</v>
      </c>
    </row>
    <row r="86" spans="1:15" x14ac:dyDescent="0.75">
      <c r="B86" s="130" t="s">
        <v>40</v>
      </c>
      <c r="C86" s="141">
        <v>763.64700000000005</v>
      </c>
      <c r="D86" s="141">
        <v>763.64700000000005</v>
      </c>
      <c r="E86" s="141">
        <v>763.64700000000005</v>
      </c>
      <c r="F86" s="141">
        <v>763.64700000000005</v>
      </c>
      <c r="G86" s="141">
        <v>763.64700000000005</v>
      </c>
      <c r="H86" s="141">
        <v>763.64700000000005</v>
      </c>
      <c r="I86" s="141">
        <v>763.64700000000005</v>
      </c>
      <c r="J86" s="141">
        <v>0</v>
      </c>
      <c r="K86" s="141">
        <v>0</v>
      </c>
      <c r="L86" s="141">
        <v>0</v>
      </c>
      <c r="M86" s="141">
        <v>0</v>
      </c>
      <c r="N86" s="141">
        <v>0</v>
      </c>
      <c r="O86" s="152">
        <v>0</v>
      </c>
    </row>
    <row r="87" spans="1:15" x14ac:dyDescent="0.75">
      <c r="B87" s="130" t="s">
        <v>42</v>
      </c>
      <c r="C87" s="141">
        <v>471693</v>
      </c>
      <c r="D87" s="141">
        <v>549086.5</v>
      </c>
      <c r="E87" s="141">
        <v>626480</v>
      </c>
      <c r="F87" s="141">
        <v>646258</v>
      </c>
      <c r="G87" s="141">
        <v>655175</v>
      </c>
      <c r="H87" s="141">
        <v>704034</v>
      </c>
      <c r="I87" s="141">
        <v>704044</v>
      </c>
      <c r="J87" s="141">
        <v>708703</v>
      </c>
      <c r="K87" s="141">
        <v>568723</v>
      </c>
      <c r="L87" s="141">
        <v>700156</v>
      </c>
      <c r="M87" s="141">
        <v>603422</v>
      </c>
      <c r="N87" s="141">
        <v>576528</v>
      </c>
      <c r="O87" s="152">
        <v>555274</v>
      </c>
    </row>
    <row r="88" spans="1:15" x14ac:dyDescent="0.75">
      <c r="B88" s="130" t="s">
        <v>44</v>
      </c>
      <c r="C88" s="141">
        <v>352031.11899999995</v>
      </c>
      <c r="D88" s="141">
        <v>352012.17400000058</v>
      </c>
      <c r="E88" s="141">
        <v>351993.22899999935</v>
      </c>
      <c r="F88" s="141">
        <v>351992.03699999955</v>
      </c>
      <c r="G88" s="141">
        <v>351994.55700000003</v>
      </c>
      <c r="H88" s="141">
        <v>351993.95699999947</v>
      </c>
      <c r="I88" s="141">
        <v>351993.82899999991</v>
      </c>
      <c r="J88" s="141">
        <v>322264.42600000091</v>
      </c>
      <c r="K88" s="141">
        <v>322282.10600000061</v>
      </c>
      <c r="L88" s="141">
        <v>351749.49600000028</v>
      </c>
      <c r="M88" s="141">
        <v>351734.07599999942</v>
      </c>
      <c r="N88" s="141">
        <v>349815.73299999943</v>
      </c>
      <c r="O88" s="152">
        <v>349883.96779999975</v>
      </c>
    </row>
    <row r="89" spans="1:15" x14ac:dyDescent="0.75">
      <c r="B89" s="130" t="s">
        <v>50</v>
      </c>
      <c r="C89" s="142">
        <v>930069</v>
      </c>
      <c r="D89" s="142">
        <v>931437.5</v>
      </c>
      <c r="E89" s="142">
        <v>932806</v>
      </c>
      <c r="F89" s="142">
        <v>929360</v>
      </c>
      <c r="G89" s="142">
        <v>949786</v>
      </c>
      <c r="H89" s="142">
        <v>900908</v>
      </c>
      <c r="I89" s="142">
        <v>900838</v>
      </c>
      <c r="J89" s="142">
        <v>906111</v>
      </c>
      <c r="K89" s="142">
        <v>860813</v>
      </c>
      <c r="L89" s="142">
        <v>917482</v>
      </c>
      <c r="M89" s="142">
        <v>969770</v>
      </c>
      <c r="N89" s="142">
        <v>978818</v>
      </c>
      <c r="O89" s="153">
        <v>942998</v>
      </c>
    </row>
    <row r="90" spans="1:15" x14ac:dyDescent="0.75">
      <c r="B90" s="130" t="s">
        <v>52</v>
      </c>
      <c r="C90" s="142">
        <v>14377</v>
      </c>
      <c r="D90" s="142">
        <v>15367.6</v>
      </c>
      <c r="E90" s="142">
        <v>16358.2</v>
      </c>
      <c r="F90" s="142">
        <v>16721.900000000001</v>
      </c>
      <c r="G90" s="142">
        <v>16803.3</v>
      </c>
      <c r="H90" s="142">
        <v>16880.2</v>
      </c>
      <c r="I90" s="142">
        <v>16880.2</v>
      </c>
      <c r="J90" s="142">
        <v>17184</v>
      </c>
      <c r="K90" s="142">
        <v>16395.8</v>
      </c>
      <c r="L90" s="142">
        <v>17071.599999999999</v>
      </c>
      <c r="M90" s="142">
        <v>16376.6</v>
      </c>
      <c r="N90" s="142">
        <v>18278.400000000001</v>
      </c>
      <c r="O90" s="153">
        <v>21670.799999999999</v>
      </c>
    </row>
    <row r="91" spans="1:15" x14ac:dyDescent="0.75">
      <c r="B91" s="130" t="s">
        <v>54</v>
      </c>
      <c r="C91" s="142">
        <v>43462.3</v>
      </c>
      <c r="D91" s="142">
        <v>49012.800000000003</v>
      </c>
      <c r="E91" s="142">
        <v>54563.3</v>
      </c>
      <c r="F91" s="142">
        <v>54563.3</v>
      </c>
      <c r="G91" s="142">
        <v>65249.9</v>
      </c>
      <c r="H91" s="142">
        <v>65378.5</v>
      </c>
      <c r="I91" s="142">
        <v>65378.5</v>
      </c>
      <c r="J91" s="142">
        <v>65760.399999999994</v>
      </c>
      <c r="K91" s="142">
        <v>62139.3</v>
      </c>
      <c r="L91" s="142">
        <v>65070.9</v>
      </c>
      <c r="M91" s="142">
        <v>65343.8</v>
      </c>
      <c r="N91" s="142">
        <v>70691.7</v>
      </c>
      <c r="O91" s="153">
        <v>68599.7</v>
      </c>
    </row>
    <row r="92" spans="1:15" x14ac:dyDescent="0.75">
      <c r="B92" s="130" t="s">
        <v>115</v>
      </c>
      <c r="C92" s="142">
        <v>10931.7</v>
      </c>
      <c r="D92" s="142">
        <v>10931.7</v>
      </c>
      <c r="E92" s="142">
        <v>10931.7</v>
      </c>
      <c r="F92" s="142">
        <v>10931.7</v>
      </c>
      <c r="G92" s="142">
        <v>10973.6</v>
      </c>
      <c r="H92" s="142">
        <v>10973.6</v>
      </c>
      <c r="I92" s="142">
        <v>11043.9</v>
      </c>
      <c r="J92" s="142">
        <v>11463.2</v>
      </c>
      <c r="K92" s="142">
        <v>11458.9</v>
      </c>
      <c r="L92" s="142">
        <v>11388.1</v>
      </c>
      <c r="M92" s="142">
        <v>11388.1</v>
      </c>
      <c r="N92" s="142">
        <v>48795.199999999997</v>
      </c>
      <c r="O92" s="153">
        <v>45504.6</v>
      </c>
    </row>
    <row r="93" spans="1:15" x14ac:dyDescent="0.75">
      <c r="B93" s="130" t="s">
        <v>68</v>
      </c>
      <c r="C93" s="143">
        <v>0</v>
      </c>
      <c r="D93" s="142">
        <v>0</v>
      </c>
      <c r="E93" s="142">
        <v>0</v>
      </c>
      <c r="F93" s="142">
        <v>0</v>
      </c>
      <c r="G93" s="142">
        <v>0</v>
      </c>
      <c r="H93" s="142">
        <v>0</v>
      </c>
      <c r="I93" s="142">
        <v>0</v>
      </c>
      <c r="J93" s="142">
        <v>0</v>
      </c>
      <c r="K93" s="142">
        <v>0</v>
      </c>
      <c r="L93" s="142">
        <v>0</v>
      </c>
      <c r="M93" s="142">
        <v>0</v>
      </c>
      <c r="N93" s="142">
        <v>448.15699999999998</v>
      </c>
      <c r="O93" s="153">
        <v>79.672200000000004</v>
      </c>
    </row>
    <row r="94" spans="1:15" x14ac:dyDescent="0.75">
      <c r="B94" s="130" t="s">
        <v>58</v>
      </c>
      <c r="C94" s="142">
        <v>158.70400000000001</v>
      </c>
      <c r="D94" s="142">
        <v>158.70400000000001</v>
      </c>
      <c r="E94" s="142">
        <v>158.70400000000001</v>
      </c>
      <c r="F94" s="142">
        <v>158.70400000000001</v>
      </c>
      <c r="G94" s="142">
        <v>158.70400000000001</v>
      </c>
      <c r="H94" s="142">
        <v>158.70400000000001</v>
      </c>
      <c r="I94" s="142">
        <v>158.70400000000001</v>
      </c>
      <c r="J94" s="142">
        <v>158.70400000000001</v>
      </c>
      <c r="K94" s="142">
        <v>158.70400000000001</v>
      </c>
      <c r="L94" s="142">
        <v>158.70400000000001</v>
      </c>
      <c r="M94" s="142">
        <v>158.70400000000001</v>
      </c>
      <c r="N94" s="142">
        <v>175.21</v>
      </c>
      <c r="O94" s="153">
        <v>175</v>
      </c>
    </row>
    <row r="95" spans="1:15" x14ac:dyDescent="0.75">
      <c r="B95" s="130" t="s">
        <v>60</v>
      </c>
      <c r="C95" s="142">
        <v>36638</v>
      </c>
      <c r="D95" s="142">
        <v>41429.599999999999</v>
      </c>
      <c r="E95" s="142">
        <v>46221.2</v>
      </c>
      <c r="F95" s="142">
        <v>46221.2</v>
      </c>
      <c r="G95" s="142">
        <v>46221.2</v>
      </c>
      <c r="H95" s="142">
        <v>46221.2</v>
      </c>
      <c r="I95" s="142">
        <v>46221.2</v>
      </c>
      <c r="J95" s="142">
        <v>46440.4</v>
      </c>
      <c r="K95" s="142">
        <v>46440.4</v>
      </c>
      <c r="L95" s="142">
        <v>46151.8</v>
      </c>
      <c r="M95" s="142">
        <v>45503.7</v>
      </c>
      <c r="N95" s="142">
        <v>26525.599999999999</v>
      </c>
      <c r="O95" s="153">
        <v>25575</v>
      </c>
    </row>
    <row r="96" spans="1:15" x14ac:dyDescent="0.75">
      <c r="B96" s="130" t="s">
        <v>62</v>
      </c>
      <c r="C96" s="142">
        <v>394375</v>
      </c>
      <c r="D96" s="142">
        <v>456595.5</v>
      </c>
      <c r="E96" s="142">
        <v>518816</v>
      </c>
      <c r="F96" s="142">
        <v>521051</v>
      </c>
      <c r="G96" s="142">
        <v>527044</v>
      </c>
      <c r="H96" s="142">
        <v>527044</v>
      </c>
      <c r="I96" s="142">
        <v>527034</v>
      </c>
      <c r="J96" s="142">
        <v>530472</v>
      </c>
      <c r="K96" s="142">
        <v>529565</v>
      </c>
      <c r="L96" s="142">
        <v>516113</v>
      </c>
      <c r="M96" s="142">
        <v>554354</v>
      </c>
      <c r="N96" s="142">
        <v>532291</v>
      </c>
      <c r="O96" s="153">
        <v>437538</v>
      </c>
    </row>
    <row r="97" spans="2:25" x14ac:dyDescent="0.75">
      <c r="B97" s="159"/>
      <c r="C97" s="160"/>
      <c r="D97" s="160"/>
      <c r="E97" s="160"/>
      <c r="F97" s="161"/>
      <c r="G97" s="157"/>
    </row>
    <row r="98" spans="2:25" x14ac:dyDescent="0.75">
      <c r="B98" s="159"/>
      <c r="C98" s="160"/>
      <c r="D98" s="160"/>
      <c r="E98" s="160"/>
      <c r="F98" s="161"/>
      <c r="G98" s="157"/>
    </row>
    <row r="99" spans="2:25" x14ac:dyDescent="0.75">
      <c r="B99" s="159"/>
      <c r="C99" s="160"/>
      <c r="D99" s="160"/>
      <c r="E99" s="160"/>
      <c r="F99" s="161"/>
      <c r="G99" s="157"/>
    </row>
    <row r="100" spans="2:25" x14ac:dyDescent="0.75">
      <c r="B100" s="159"/>
      <c r="C100" s="160"/>
      <c r="D100" s="160"/>
      <c r="E100" s="160"/>
      <c r="F100" s="161"/>
      <c r="G100" s="157"/>
    </row>
    <row r="101" spans="2:25" x14ac:dyDescent="0.75">
      <c r="B101" s="159"/>
      <c r="C101" s="160"/>
      <c r="D101" s="160"/>
      <c r="E101" s="160"/>
      <c r="F101" s="161"/>
      <c r="G101" s="157"/>
    </row>
    <row r="102" spans="2:25" x14ac:dyDescent="0.75">
      <c r="B102" s="159"/>
      <c r="C102" s="160"/>
      <c r="D102" s="160"/>
      <c r="E102" s="160"/>
      <c r="F102" s="161"/>
      <c r="G102" s="157"/>
    </row>
    <row r="103" spans="2:25" x14ac:dyDescent="0.75">
      <c r="B103" s="159"/>
      <c r="C103" s="160"/>
      <c r="D103" s="160"/>
      <c r="E103" s="160"/>
      <c r="F103" s="161"/>
      <c r="G103" s="157"/>
    </row>
    <row r="104" spans="2:25" x14ac:dyDescent="0.75">
      <c r="B104" s="159"/>
      <c r="C104" s="160"/>
      <c r="D104" s="160"/>
      <c r="E104" s="160"/>
      <c r="F104" s="161"/>
      <c r="G104" s="157"/>
    </row>
    <row r="105" spans="2:25" x14ac:dyDescent="0.75">
      <c r="B105" s="159"/>
      <c r="C105" s="160"/>
      <c r="D105" s="160"/>
      <c r="E105" s="160"/>
      <c r="F105" s="161"/>
      <c r="G105" s="157"/>
    </row>
    <row r="106" spans="2:25" x14ac:dyDescent="0.75">
      <c r="X106">
        <v>2019</v>
      </c>
    </row>
    <row r="107" spans="2:25" x14ac:dyDescent="0.75">
      <c r="X107">
        <v>1990</v>
      </c>
      <c r="Y107">
        <f>X106-X107</f>
        <v>29</v>
      </c>
    </row>
  </sheetData>
  <mergeCells count="6">
    <mergeCell ref="T43:U44"/>
    <mergeCell ref="B4:B6"/>
    <mergeCell ref="C4:O4"/>
    <mergeCell ref="B43:B45"/>
    <mergeCell ref="C43:O43"/>
    <mergeCell ref="Q43:S44"/>
  </mergeCells>
  <conditionalFormatting sqref="Y46:AJ66">
    <cfRule type="expression" dxfId="1" priority="1">
      <formula>Y46&gt;0</formula>
    </cfRule>
    <cfRule type="expression" dxfId="0" priority="2">
      <formula>Y46&lt;0</formula>
    </cfRule>
  </conditionalFormatting>
  <pageMargins left="0.7" right="0.7" top="0.75" bottom="0.75" header="0.3" footer="0.3"/>
  <pageSetup scale="60" orientation="portrait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district</vt:lpstr>
      <vt:lpstr>Lc_Infor (2)</vt:lpstr>
      <vt:lpstr>Ttest_Ftest</vt:lpstr>
      <vt:lpstr>Lc_Infor (result)</vt:lpstr>
      <vt:lpstr>res</vt:lpstr>
      <vt:lpstr>graph1</vt:lpstr>
      <vt:lpstr>Sheet2</vt:lpstr>
      <vt:lpstr>res (2)</vt:lpstr>
      <vt:lpstr>res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Rahmawan</dc:creator>
  <cp:lastModifiedBy>Letsoin Sri Murniani Angelina</cp:lastModifiedBy>
  <dcterms:created xsi:type="dcterms:W3CDTF">2020-04-22T03:30:09Z</dcterms:created>
  <dcterms:modified xsi:type="dcterms:W3CDTF">2023-05-19T08:24:26Z</dcterms:modified>
</cp:coreProperties>
</file>