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ilu/Documents/Financial Modelling/Case Study/"/>
    </mc:Choice>
  </mc:AlternateContent>
  <xr:revisionPtr revIDLastSave="0" documentId="13_ncr:1_{7EBC9FCA-DBE3-4A41-AB78-B3408F6989A3}" xr6:coauthVersionLast="47" xr6:coauthVersionMax="47" xr10:uidLastSave="{00000000-0000-0000-0000-000000000000}"/>
  <bookViews>
    <workbookView xWindow="0" yWindow="860" windowWidth="17100" windowHeight="20220" activeTab="3" xr2:uid="{267B1AED-33BD-44E4-B36B-6E05B95BBE94}"/>
  </bookViews>
  <sheets>
    <sheet name="Revenue_Amazon" sheetId="1" r:id="rId1"/>
    <sheet name="Trend Models" sheetId="6" r:id="rId2"/>
    <sheet name="Holt Winter's" sheetId="11" r:id="rId3"/>
    <sheet name="Validation Set-Predicted Values" sheetId="8" r:id="rId4"/>
    <sheet name="Accuracy Metrics" sheetId="7" r:id="rId5"/>
  </sheets>
  <definedNames>
    <definedName name="solver_adj" localSheetId="2" hidden="1">'Holt Winter''s'!$N$3:$N$5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ng" localSheetId="0" hidden="1">1</definedName>
    <definedName name="solver_itr" localSheetId="2" hidden="1">2147483647</definedName>
    <definedName name="solver_lhs1" localSheetId="2" hidden="1">'Holt Winter''s'!$N$3:$N$5</definedName>
    <definedName name="solver_lhs2" localSheetId="2" hidden="1">'Holt Winter''s'!$N$3:$N$5</definedName>
    <definedName name="solver_lin" localSheetId="2" hidden="1">2</definedName>
    <definedName name="solver_lin" localSheetId="0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um" localSheetId="2" hidden="1">2</definedName>
    <definedName name="solver_num" localSheetId="0" hidden="1">0</definedName>
    <definedName name="solver_opt" localSheetId="2" hidden="1">'Holt Winter''s'!$N$6</definedName>
    <definedName name="solver_opt" localSheetId="0" hidden="1">Revenue_Amazon!$M$12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1" l="1"/>
  <c r="E5" i="7"/>
  <c r="C43" i="6"/>
  <c r="C44" i="6"/>
  <c r="C45" i="6"/>
  <c r="C46" i="6"/>
  <c r="C47" i="6"/>
  <c r="C48" i="6"/>
  <c r="C49" i="6"/>
  <c r="C4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" i="6"/>
  <c r="O36" i="11"/>
  <c r="N36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2" i="11"/>
  <c r="G3" i="11"/>
  <c r="G4" i="11"/>
  <c r="G5" i="11"/>
  <c r="E6" i="1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9" i="6"/>
  <c r="I49" i="6"/>
  <c r="G49" i="6"/>
  <c r="F49" i="6"/>
  <c r="E49" i="6"/>
  <c r="J48" i="6"/>
  <c r="I48" i="6"/>
  <c r="G48" i="6"/>
  <c r="F48" i="6"/>
  <c r="E48" i="6"/>
  <c r="J47" i="6"/>
  <c r="I47" i="6"/>
  <c r="G47" i="6"/>
  <c r="F47" i="6"/>
  <c r="E47" i="6"/>
  <c r="W46" i="6" s="1"/>
  <c r="X46" i="6" s="1"/>
  <c r="J46" i="6"/>
  <c r="I46" i="6"/>
  <c r="G46" i="6"/>
  <c r="F46" i="6"/>
  <c r="E46" i="6"/>
  <c r="J45" i="6"/>
  <c r="I45" i="6"/>
  <c r="G45" i="6"/>
  <c r="F45" i="6"/>
  <c r="E45" i="6"/>
  <c r="J44" i="6"/>
  <c r="I44" i="6"/>
  <c r="G44" i="6"/>
  <c r="F44" i="6"/>
  <c r="E44" i="6"/>
  <c r="J43" i="6"/>
  <c r="I43" i="6"/>
  <c r="G43" i="6"/>
  <c r="F43" i="6"/>
  <c r="E43" i="6"/>
  <c r="J42" i="6"/>
  <c r="I42" i="6"/>
  <c r="G42" i="6"/>
  <c r="F42" i="6"/>
  <c r="E42" i="6"/>
  <c r="M41" i="6" s="1"/>
  <c r="J38" i="6"/>
  <c r="I38" i="6"/>
  <c r="G38" i="6"/>
  <c r="F38" i="6"/>
  <c r="E38" i="6"/>
  <c r="J37" i="6"/>
  <c r="I37" i="6"/>
  <c r="G37" i="6"/>
  <c r="F37" i="6"/>
  <c r="E37" i="6"/>
  <c r="J36" i="6"/>
  <c r="I36" i="6"/>
  <c r="G36" i="6"/>
  <c r="F36" i="6"/>
  <c r="E36" i="6"/>
  <c r="J35" i="6"/>
  <c r="I35" i="6"/>
  <c r="G35" i="6"/>
  <c r="F35" i="6"/>
  <c r="E35" i="6"/>
  <c r="J34" i="6"/>
  <c r="I34" i="6"/>
  <c r="G34" i="6"/>
  <c r="F34" i="6"/>
  <c r="E34" i="6"/>
  <c r="J33" i="6"/>
  <c r="I33" i="6"/>
  <c r="G33" i="6"/>
  <c r="F33" i="6"/>
  <c r="E33" i="6"/>
  <c r="J32" i="6"/>
  <c r="I32" i="6"/>
  <c r="G32" i="6"/>
  <c r="F32" i="6"/>
  <c r="E32" i="6"/>
  <c r="J31" i="6"/>
  <c r="I31" i="6"/>
  <c r="G31" i="6"/>
  <c r="F31" i="6"/>
  <c r="E31" i="6"/>
  <c r="J30" i="6"/>
  <c r="I30" i="6"/>
  <c r="G30" i="6"/>
  <c r="F30" i="6"/>
  <c r="E30" i="6"/>
  <c r="J29" i="6"/>
  <c r="I29" i="6"/>
  <c r="G29" i="6"/>
  <c r="F29" i="6"/>
  <c r="E29" i="6"/>
  <c r="J28" i="6"/>
  <c r="I28" i="6"/>
  <c r="G28" i="6"/>
  <c r="F28" i="6"/>
  <c r="E28" i="6"/>
  <c r="J27" i="6"/>
  <c r="I27" i="6"/>
  <c r="G27" i="6"/>
  <c r="F27" i="6"/>
  <c r="E27" i="6"/>
  <c r="J26" i="6"/>
  <c r="I26" i="6"/>
  <c r="G26" i="6"/>
  <c r="F26" i="6"/>
  <c r="E26" i="6"/>
  <c r="J25" i="6"/>
  <c r="I25" i="6"/>
  <c r="G25" i="6"/>
  <c r="F25" i="6"/>
  <c r="E25" i="6"/>
  <c r="J24" i="6"/>
  <c r="I24" i="6"/>
  <c r="G24" i="6"/>
  <c r="F24" i="6"/>
  <c r="E24" i="6"/>
  <c r="J23" i="6"/>
  <c r="I23" i="6"/>
  <c r="G23" i="6"/>
  <c r="F23" i="6"/>
  <c r="E23" i="6"/>
  <c r="J22" i="6"/>
  <c r="I22" i="6"/>
  <c r="G22" i="6"/>
  <c r="F22" i="6"/>
  <c r="E22" i="6"/>
  <c r="J21" i="6"/>
  <c r="I21" i="6"/>
  <c r="G21" i="6"/>
  <c r="F21" i="6"/>
  <c r="E21" i="6"/>
  <c r="J20" i="6"/>
  <c r="I20" i="6"/>
  <c r="G20" i="6"/>
  <c r="F20" i="6"/>
  <c r="E20" i="6"/>
  <c r="J19" i="6"/>
  <c r="I19" i="6"/>
  <c r="G19" i="6"/>
  <c r="F19" i="6"/>
  <c r="E19" i="6"/>
  <c r="J18" i="6"/>
  <c r="I18" i="6"/>
  <c r="G18" i="6"/>
  <c r="F18" i="6"/>
  <c r="E18" i="6"/>
  <c r="J17" i="6"/>
  <c r="I17" i="6"/>
  <c r="G17" i="6"/>
  <c r="F17" i="6"/>
  <c r="E17" i="6"/>
  <c r="J16" i="6"/>
  <c r="I16" i="6"/>
  <c r="G16" i="6"/>
  <c r="F16" i="6"/>
  <c r="E16" i="6"/>
  <c r="J15" i="6"/>
  <c r="I15" i="6"/>
  <c r="G15" i="6"/>
  <c r="F15" i="6"/>
  <c r="E15" i="6"/>
  <c r="J14" i="6"/>
  <c r="I14" i="6"/>
  <c r="G14" i="6"/>
  <c r="F14" i="6"/>
  <c r="E14" i="6"/>
  <c r="J13" i="6"/>
  <c r="I13" i="6"/>
  <c r="G13" i="6"/>
  <c r="F13" i="6"/>
  <c r="E13" i="6"/>
  <c r="J12" i="6"/>
  <c r="I12" i="6"/>
  <c r="G12" i="6"/>
  <c r="F12" i="6"/>
  <c r="E12" i="6"/>
  <c r="J11" i="6"/>
  <c r="I11" i="6"/>
  <c r="G11" i="6"/>
  <c r="F11" i="6"/>
  <c r="E11" i="6"/>
  <c r="J10" i="6"/>
  <c r="I10" i="6"/>
  <c r="G10" i="6"/>
  <c r="F10" i="6"/>
  <c r="E10" i="6"/>
  <c r="J9" i="6"/>
  <c r="I9" i="6"/>
  <c r="G9" i="6"/>
  <c r="F9" i="6"/>
  <c r="E9" i="6"/>
  <c r="J8" i="6"/>
  <c r="I8" i="6"/>
  <c r="G8" i="6"/>
  <c r="F8" i="6"/>
  <c r="E8" i="6"/>
  <c r="J7" i="6"/>
  <c r="I7" i="6"/>
  <c r="G7" i="6"/>
  <c r="F7" i="6"/>
  <c r="E7" i="6"/>
  <c r="J6" i="6"/>
  <c r="I6" i="6"/>
  <c r="G6" i="6"/>
  <c r="F6" i="6"/>
  <c r="E6" i="6"/>
  <c r="J5" i="6"/>
  <c r="I5" i="6"/>
  <c r="G5" i="6"/>
  <c r="F5" i="6"/>
  <c r="E5" i="6"/>
  <c r="J4" i="6"/>
  <c r="I4" i="6"/>
  <c r="G4" i="6"/>
  <c r="F4" i="6"/>
  <c r="E4" i="6"/>
  <c r="J3" i="6"/>
  <c r="I3" i="6"/>
  <c r="G3" i="6"/>
  <c r="F3" i="6"/>
  <c r="E3" i="6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J3" i="1"/>
  <c r="F6" i="11" l="1"/>
  <c r="H7" i="11" s="1"/>
  <c r="I7" i="11" s="1"/>
  <c r="W44" i="6"/>
  <c r="X44" i="6" s="1"/>
  <c r="W47" i="6"/>
  <c r="X47" i="6" s="1"/>
  <c r="W42" i="6"/>
  <c r="X42" i="6" s="1"/>
  <c r="Y42" i="6" s="1"/>
  <c r="W45" i="6"/>
  <c r="X45" i="6" s="1"/>
  <c r="Y45" i="6" s="1"/>
  <c r="W43" i="6"/>
  <c r="X43" i="6" s="1"/>
  <c r="Y43" i="6" s="1"/>
  <c r="W48" i="6"/>
  <c r="X48" i="6" s="1"/>
  <c r="Z48" i="6" s="1"/>
  <c r="E7" i="11"/>
  <c r="G7" i="11" s="1"/>
  <c r="G6" i="11"/>
  <c r="Y47" i="6"/>
  <c r="Z47" i="6"/>
  <c r="Z44" i="6"/>
  <c r="Y44" i="6"/>
  <c r="Y46" i="6"/>
  <c r="Z46" i="6"/>
  <c r="W41" i="6"/>
  <c r="X41" i="6" s="1"/>
  <c r="AQ44" i="6"/>
  <c r="AR44" i="6" s="1"/>
  <c r="AS44" i="6" s="1"/>
  <c r="AQ47" i="6"/>
  <c r="AR47" i="6" s="1"/>
  <c r="AT47" i="6" s="1"/>
  <c r="AG46" i="6"/>
  <c r="AH46" i="6" s="1"/>
  <c r="AJ46" i="6" s="1"/>
  <c r="AQ41" i="6"/>
  <c r="AR41" i="6" s="1"/>
  <c r="AS41" i="6" s="1"/>
  <c r="M44" i="6"/>
  <c r="N44" i="6" s="1"/>
  <c r="P44" i="6" s="1"/>
  <c r="AG44" i="6"/>
  <c r="AH44" i="6" s="1"/>
  <c r="AJ44" i="6" s="1"/>
  <c r="AG43" i="6"/>
  <c r="AH43" i="6" s="1"/>
  <c r="AI43" i="6" s="1"/>
  <c r="AG45" i="6"/>
  <c r="AH45" i="6" s="1"/>
  <c r="AI45" i="6" s="1"/>
  <c r="AQ46" i="6"/>
  <c r="AR46" i="6" s="1"/>
  <c r="AT46" i="6" s="1"/>
  <c r="AG48" i="6"/>
  <c r="AH48" i="6" s="1"/>
  <c r="AI48" i="6" s="1"/>
  <c r="AG42" i="6"/>
  <c r="AH42" i="6" s="1"/>
  <c r="AI42" i="6" s="1"/>
  <c r="AQ43" i="6"/>
  <c r="AR43" i="6" s="1"/>
  <c r="AT43" i="6" s="1"/>
  <c r="AQ45" i="6"/>
  <c r="AR45" i="6" s="1"/>
  <c r="AS45" i="6" s="1"/>
  <c r="M47" i="6"/>
  <c r="N47" i="6" s="1"/>
  <c r="AG47" i="6"/>
  <c r="AH47" i="6" s="1"/>
  <c r="AQ48" i="6"/>
  <c r="AR48" i="6" s="1"/>
  <c r="M46" i="6"/>
  <c r="N46" i="6" s="1"/>
  <c r="M45" i="6"/>
  <c r="N45" i="6" s="1"/>
  <c r="M43" i="6"/>
  <c r="N43" i="6" s="1"/>
  <c r="AG41" i="6"/>
  <c r="AH41" i="6" s="1"/>
  <c r="AQ42" i="6"/>
  <c r="AR42" i="6" s="1"/>
  <c r="M42" i="6"/>
  <c r="N42" i="6" s="1"/>
  <c r="N41" i="6"/>
  <c r="M48" i="6"/>
  <c r="N48" i="6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J7" i="11" l="1"/>
  <c r="K7" i="11"/>
  <c r="Z42" i="6"/>
  <c r="Y48" i="6"/>
  <c r="Z43" i="6"/>
  <c r="Z45" i="6"/>
  <c r="AS47" i="6"/>
  <c r="F7" i="11"/>
  <c r="E8" i="11" s="1"/>
  <c r="G8" i="11" s="1"/>
  <c r="Z41" i="6"/>
  <c r="X49" i="6"/>
  <c r="C4" i="7" s="1"/>
  <c r="Y41" i="6"/>
  <c r="Y49" i="6" s="1"/>
  <c r="D4" i="7" s="1"/>
  <c r="AT44" i="6"/>
  <c r="AI46" i="6"/>
  <c r="AT41" i="6"/>
  <c r="AT45" i="6"/>
  <c r="AJ43" i="6"/>
  <c r="O44" i="6"/>
  <c r="AR49" i="6"/>
  <c r="C6" i="7" s="1"/>
  <c r="AI44" i="6"/>
  <c r="AH49" i="6"/>
  <c r="C5" i="7" s="1"/>
  <c r="AJ45" i="6"/>
  <c r="AJ42" i="6"/>
  <c r="AJ48" i="6"/>
  <c r="AS43" i="6"/>
  <c r="AS46" i="6"/>
  <c r="P43" i="6"/>
  <c r="O43" i="6"/>
  <c r="P46" i="6"/>
  <c r="O46" i="6"/>
  <c r="P48" i="6"/>
  <c r="O48" i="6"/>
  <c r="AT48" i="6"/>
  <c r="AS48" i="6"/>
  <c r="O41" i="6"/>
  <c r="N49" i="6"/>
  <c r="C3" i="7" s="1"/>
  <c r="P41" i="6"/>
  <c r="AJ47" i="6"/>
  <c r="AI47" i="6"/>
  <c r="P42" i="6"/>
  <c r="O42" i="6"/>
  <c r="P47" i="6"/>
  <c r="O47" i="6"/>
  <c r="P45" i="6"/>
  <c r="O45" i="6"/>
  <c r="AT42" i="6"/>
  <c r="AS42" i="6"/>
  <c r="AJ41" i="6"/>
  <c r="AI41" i="6"/>
  <c r="Z49" i="6" l="1"/>
  <c r="E4" i="7" s="1"/>
  <c r="H8" i="11"/>
  <c r="I8" i="11" s="1"/>
  <c r="F8" i="11"/>
  <c r="E9" i="11" s="1"/>
  <c r="G9" i="11" s="1"/>
  <c r="AI49" i="6"/>
  <c r="D5" i="7" s="1"/>
  <c r="AT49" i="6"/>
  <c r="E6" i="7" s="1"/>
  <c r="AJ49" i="6"/>
  <c r="AS49" i="6"/>
  <c r="D6" i="7" s="1"/>
  <c r="P49" i="6"/>
  <c r="E3" i="7" s="1"/>
  <c r="O49" i="6"/>
  <c r="D3" i="7" s="1"/>
  <c r="H9" i="11" l="1"/>
  <c r="I9" i="11" s="1"/>
  <c r="J9" i="11" s="1"/>
  <c r="K8" i="11"/>
  <c r="J8" i="11"/>
  <c r="F9" i="11"/>
  <c r="H10" i="11" s="1"/>
  <c r="I10" i="11" s="1"/>
  <c r="K9" i="11" l="1"/>
  <c r="K10" i="11"/>
  <c r="J10" i="11"/>
  <c r="E10" i="11"/>
  <c r="F10" i="11" s="1"/>
  <c r="H11" i="11" s="1"/>
  <c r="I11" i="11" s="1"/>
  <c r="E11" i="11" l="1"/>
  <c r="F11" i="11" s="1"/>
  <c r="H12" i="11" s="1"/>
  <c r="I12" i="11" s="1"/>
  <c r="K12" i="11" s="1"/>
  <c r="G10" i="11"/>
  <c r="J11" i="11"/>
  <c r="K11" i="11"/>
  <c r="E12" i="11"/>
  <c r="F12" i="11" s="1"/>
  <c r="H13" i="11" s="1"/>
  <c r="I13" i="11" s="1"/>
  <c r="G11" i="11"/>
  <c r="J12" i="11" l="1"/>
  <c r="J13" i="11"/>
  <c r="K13" i="11"/>
  <c r="E13" i="11"/>
  <c r="F13" i="11" s="1"/>
  <c r="H14" i="11" s="1"/>
  <c r="I14" i="11" s="1"/>
  <c r="G12" i="11"/>
  <c r="J14" i="11" l="1"/>
  <c r="K14" i="11"/>
  <c r="E14" i="11"/>
  <c r="G13" i="11"/>
  <c r="F14" i="11"/>
  <c r="E15" i="11" s="1"/>
  <c r="G14" i="11"/>
  <c r="H15" i="11" l="1"/>
  <c r="I15" i="11" s="1"/>
  <c r="F15" i="11"/>
  <c r="H16" i="11" s="1"/>
  <c r="I16" i="11" s="1"/>
  <c r="G15" i="11"/>
  <c r="E16" i="11"/>
  <c r="K16" i="11" l="1"/>
  <c r="J16" i="11"/>
  <c r="J15" i="11"/>
  <c r="K15" i="11"/>
  <c r="F16" i="11"/>
  <c r="H17" i="11" s="1"/>
  <c r="I17" i="11" s="1"/>
  <c r="G16" i="11"/>
  <c r="J17" i="11" l="1"/>
  <c r="K17" i="11"/>
  <c r="E17" i="11"/>
  <c r="F17" i="11" s="1"/>
  <c r="H18" i="11" s="1"/>
  <c r="I18" i="11" s="1"/>
  <c r="K18" i="11" l="1"/>
  <c r="J18" i="11"/>
  <c r="E18" i="11"/>
  <c r="F18" i="11" s="1"/>
  <c r="H19" i="11" s="1"/>
  <c r="I19" i="11" s="1"/>
  <c r="G17" i="11"/>
  <c r="J19" i="11" l="1"/>
  <c r="K19" i="11"/>
  <c r="G18" i="11"/>
  <c r="E19" i="11"/>
  <c r="F19" i="11" s="1"/>
  <c r="G19" i="11" l="1"/>
  <c r="H20" i="11"/>
  <c r="I20" i="11" s="1"/>
  <c r="E20" i="11"/>
  <c r="F20" i="11" s="1"/>
  <c r="H21" i="11" s="1"/>
  <c r="I21" i="11" s="1"/>
  <c r="J21" i="11" l="1"/>
  <c r="K21" i="11"/>
  <c r="J20" i="11"/>
  <c r="K20" i="11"/>
  <c r="G20" i="11"/>
  <c r="E21" i="11"/>
  <c r="G21" i="11" s="1"/>
  <c r="F21" i="11" l="1"/>
  <c r="H22" i="11" s="1"/>
  <c r="I22" i="11" s="1"/>
  <c r="J22" i="11" l="1"/>
  <c r="K22" i="11"/>
  <c r="E22" i="11"/>
  <c r="F22" i="11" s="1"/>
  <c r="E23" i="11" s="1"/>
  <c r="F23" i="11" s="1"/>
  <c r="E24" i="11" s="1"/>
  <c r="G23" i="11" l="1"/>
  <c r="H23" i="11"/>
  <c r="I23" i="11" s="1"/>
  <c r="G22" i="11"/>
  <c r="H24" i="11"/>
  <c r="I24" i="11" s="1"/>
  <c r="F24" i="11"/>
  <c r="H25" i="11" s="1"/>
  <c r="I25" i="11" s="1"/>
  <c r="G24" i="11"/>
  <c r="J25" i="11" l="1"/>
  <c r="K25" i="11"/>
  <c r="K24" i="11"/>
  <c r="J24" i="11"/>
  <c r="J23" i="11"/>
  <c r="K23" i="11"/>
  <c r="E25" i="11"/>
  <c r="F25" i="11" s="1"/>
  <c r="E26" i="11" s="1"/>
  <c r="G25" i="11" l="1"/>
  <c r="H26" i="11"/>
  <c r="I26" i="11" s="1"/>
  <c r="F26" i="11"/>
  <c r="H27" i="11" s="1"/>
  <c r="I27" i="11" s="1"/>
  <c r="G26" i="11"/>
  <c r="J27" i="11" l="1"/>
  <c r="K27" i="11"/>
  <c r="K26" i="11"/>
  <c r="J26" i="11"/>
  <c r="E27" i="11"/>
  <c r="F27" i="11" s="1"/>
  <c r="H28" i="11" s="1"/>
  <c r="I28" i="11" s="1"/>
  <c r="J28" i="11" l="1"/>
  <c r="K28" i="11"/>
  <c r="G27" i="11"/>
  <c r="E28" i="11"/>
  <c r="G28" i="11" s="1"/>
  <c r="F28" i="11" l="1"/>
  <c r="H29" i="11" s="1"/>
  <c r="I29" i="11" s="1"/>
  <c r="J29" i="11" l="1"/>
  <c r="K29" i="11"/>
  <c r="E29" i="11"/>
  <c r="F29" i="11" l="1"/>
  <c r="G29" i="11"/>
  <c r="H30" i="11" l="1"/>
  <c r="I30" i="11" s="1"/>
  <c r="E30" i="11"/>
  <c r="J30" i="11" l="1"/>
  <c r="K30" i="11"/>
  <c r="F30" i="11"/>
  <c r="H31" i="11" s="1"/>
  <c r="I31" i="11" s="1"/>
  <c r="G30" i="11"/>
  <c r="E31" i="11" l="1"/>
  <c r="J31" i="11"/>
  <c r="K31" i="11"/>
  <c r="F31" i="11"/>
  <c r="H32" i="11" s="1"/>
  <c r="I32" i="11" s="1"/>
  <c r="G31" i="11"/>
  <c r="E32" i="11"/>
  <c r="K32" i="11" l="1"/>
  <c r="J32" i="11"/>
  <c r="F32" i="11"/>
  <c r="H33" i="11" s="1"/>
  <c r="I33" i="11" s="1"/>
  <c r="G32" i="11"/>
  <c r="E33" i="11"/>
  <c r="J33" i="11" l="1"/>
  <c r="K33" i="11"/>
  <c r="F33" i="11"/>
  <c r="H34" i="11" s="1"/>
  <c r="I34" i="11" s="1"/>
  <c r="G33" i="11"/>
  <c r="K34" i="11" l="1"/>
  <c r="J34" i="11"/>
  <c r="E34" i="11"/>
  <c r="F34" i="11" s="1"/>
  <c r="G34" i="11"/>
  <c r="H35" i="11" l="1"/>
  <c r="I35" i="11" s="1"/>
  <c r="E35" i="11"/>
  <c r="F35" i="11"/>
  <c r="H36" i="11" s="1"/>
  <c r="I36" i="11" s="1"/>
  <c r="E36" i="11"/>
  <c r="G35" i="11"/>
  <c r="J36" i="11" l="1"/>
  <c r="K36" i="11"/>
  <c r="J35" i="11"/>
  <c r="K35" i="11"/>
  <c r="F36" i="11"/>
  <c r="H37" i="11" s="1"/>
  <c r="I37" i="11" s="1"/>
  <c r="G36" i="11"/>
  <c r="E37" i="11"/>
  <c r="J37" i="11" l="1"/>
  <c r="K37" i="11"/>
  <c r="F37" i="11"/>
  <c r="H38" i="11" s="1"/>
  <c r="I38" i="11" s="1"/>
  <c r="G37" i="11"/>
  <c r="E38" i="11"/>
  <c r="J38" i="11" l="1"/>
  <c r="K38" i="11"/>
  <c r="F38" i="11"/>
  <c r="H39" i="11" s="1"/>
  <c r="I39" i="11" s="1"/>
  <c r="G38" i="11"/>
  <c r="E39" i="11"/>
  <c r="J39" i="11" l="1"/>
  <c r="K39" i="11"/>
  <c r="F39" i="11"/>
  <c r="H40" i="11" s="1"/>
  <c r="I40" i="11" s="1"/>
  <c r="G39" i="11"/>
  <c r="K40" i="11" l="1"/>
  <c r="J40" i="11"/>
  <c r="E40" i="11"/>
  <c r="F40" i="11" s="1"/>
  <c r="G40" i="11"/>
  <c r="H41" i="11" l="1"/>
  <c r="I41" i="11" s="1"/>
  <c r="E41" i="11"/>
  <c r="F41" i="11" s="1"/>
  <c r="H42" i="11" s="1"/>
  <c r="I42" i="11" s="1"/>
  <c r="K42" i="11" l="1"/>
  <c r="J42" i="11"/>
  <c r="G41" i="11"/>
  <c r="J41" i="11"/>
  <c r="K41" i="11"/>
  <c r="E42" i="11"/>
  <c r="F42" i="11" s="1"/>
  <c r="H43" i="11" l="1"/>
  <c r="I43" i="11" s="1"/>
  <c r="E43" i="11"/>
  <c r="G43" i="11" s="1"/>
  <c r="G42" i="11"/>
  <c r="J43" i="11" l="1"/>
  <c r="K43" i="11"/>
  <c r="F43" i="11"/>
  <c r="H44" i="11" s="1"/>
  <c r="I44" i="11" s="1"/>
  <c r="J44" i="11" l="1"/>
  <c r="K44" i="11"/>
  <c r="E44" i="11"/>
  <c r="F44" i="11" l="1"/>
  <c r="H45" i="11" s="1"/>
  <c r="G44" i="11"/>
  <c r="I45" i="11" l="1"/>
  <c r="E45" i="11"/>
  <c r="G45" i="11" s="1"/>
  <c r="F45" i="11" l="1"/>
  <c r="N6" i="11"/>
  <c r="J45" i="11"/>
  <c r="J50" i="11" s="1"/>
  <c r="D7" i="7" s="1"/>
  <c r="K45" i="11"/>
  <c r="K50" i="11" s="1"/>
  <c r="E7" i="7" s="1"/>
  <c r="I50" i="11"/>
  <c r="C7" i="7" s="1"/>
  <c r="H48" i="11"/>
  <c r="H47" i="11"/>
  <c r="H46" i="11"/>
  <c r="H49" i="11"/>
</calcChain>
</file>

<file path=xl/sharedStrings.xml><?xml version="1.0" encoding="utf-8"?>
<sst xmlns="http://schemas.openxmlformats.org/spreadsheetml/2006/main" count="258" uniqueCount="85">
  <si>
    <t>Year</t>
  </si>
  <si>
    <t>Quarter</t>
  </si>
  <si>
    <t>Revenue</t>
  </si>
  <si>
    <t>2019</t>
  </si>
  <si>
    <t>d1</t>
  </si>
  <si>
    <t>d2</t>
  </si>
  <si>
    <t>d3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</si>
  <si>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</si>
  <si>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</si>
  <si>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</si>
  <si>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</si>
  <si>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</si>
  <si>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</si>
  <si>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</si>
  <si>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</si>
  <si>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</si>
  <si>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</si>
  <si>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</si>
  <si>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</si>
  <si>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</si>
  <si>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</si>
  <si>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</si>
  <si>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</si>
  <si>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</si>
  <si>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</si>
  <si>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</si>
  <si>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</si>
  <si>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</si>
  <si>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</si>
  <si>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</si>
  <si>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</si>
  <si>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</si>
  <si>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t^2</t>
  </si>
  <si>
    <t>t^3</t>
  </si>
  <si>
    <t>Linear Trend</t>
  </si>
  <si>
    <t>Quadratic Trend</t>
  </si>
  <si>
    <t>Cubic Trend</t>
  </si>
  <si>
    <t>Predicted Revenue</t>
  </si>
  <si>
    <t>Abs Error</t>
  </si>
  <si>
    <t>Abs Percent Error</t>
  </si>
  <si>
    <t>MAD</t>
  </si>
  <si>
    <t>MAPE</t>
  </si>
  <si>
    <t>MSE</t>
  </si>
  <si>
    <t>ln(Revenue)</t>
  </si>
  <si>
    <t>Exponential Trend</t>
  </si>
  <si>
    <t>Model</t>
  </si>
  <si>
    <t>Forecast</t>
  </si>
  <si>
    <t>Alpha</t>
  </si>
  <si>
    <t>Beta</t>
  </si>
  <si>
    <t>Gamma</t>
  </si>
  <si>
    <t>RMSE</t>
  </si>
  <si>
    <t>Period</t>
  </si>
  <si>
    <t>Holt Winter's Exponential Smoothing</t>
  </si>
  <si>
    <t>Squared Error</t>
  </si>
  <si>
    <t>Results with R</t>
  </si>
  <si>
    <t>Values</t>
  </si>
  <si>
    <t>Additive</t>
  </si>
  <si>
    <t>Multiplicative</t>
  </si>
  <si>
    <t>α</t>
  </si>
  <si>
    <t>β</t>
  </si>
  <si>
    <t>γ</t>
  </si>
  <si>
    <t>Forecasts</t>
  </si>
  <si>
    <t>2021 - Q1</t>
  </si>
  <si>
    <t>2021 - Q2</t>
  </si>
  <si>
    <t>2021 - Q3</t>
  </si>
  <si>
    <t>2021 - Q4</t>
  </si>
  <si>
    <t>Level (Lt)</t>
  </si>
  <si>
    <t>Trend (Tt)</t>
  </si>
  <si>
    <t>Seasonal (St)</t>
  </si>
  <si>
    <t xml:space="preserve">Linear Trend - Predicted </t>
  </si>
  <si>
    <t>Exponential Trend - Predicted</t>
  </si>
  <si>
    <t>Quadratic Trend - Predicted</t>
  </si>
  <si>
    <t>Cubic Trend - Predicted</t>
  </si>
  <si>
    <t>Holt Winter's-Predicted</t>
  </si>
  <si>
    <t>2019 - Q1</t>
  </si>
  <si>
    <t>2019 - Q2</t>
  </si>
  <si>
    <t>2019 - Q3</t>
  </si>
  <si>
    <t>2019 - Q4</t>
  </si>
  <si>
    <t>2020 - Q1</t>
  </si>
  <si>
    <t>2020 - Q2</t>
  </si>
  <si>
    <t>2020 - Q3</t>
  </si>
  <si>
    <t>2020 - Q4</t>
  </si>
  <si>
    <t>Validation Set</t>
  </si>
  <si>
    <t>Training Set</t>
  </si>
  <si>
    <t>Smoothing Constants: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</si>
</sst>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0.0000"/>
    <numFmt numFmtId="177" formatCode="_(* #,##0.0000_);_(* \(#,##0.0000\);_(* &quot;-&quot;??_);_(@_)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2" applyNumberFormat="1" applyFont="1"/>
    <xf numFmtId="2" fontId="0" fillId="0" borderId="0" xfId="0" applyNumberFormat="1"/>
    <xf numFmtId="2" fontId="1" fillId="0" borderId="0" xfId="0" applyNumberFormat="1" applyFont="1"/>
    <xf numFmtId="10" fontId="1" fillId="0" borderId="0" xfId="2" applyNumberFormat="1" applyFont="1"/>
    <xf numFmtId="43" fontId="0" fillId="0" borderId="0" xfId="1" applyFont="1"/>
    <xf numFmtId="10" fontId="0" fillId="0" borderId="0" xfId="2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3" xfId="0" applyBorder="1"/>
    <xf numFmtId="43" fontId="0" fillId="0" borderId="3" xfId="1" applyFont="1" applyBorder="1"/>
    <xf numFmtId="10" fontId="0" fillId="0" borderId="3" xfId="2" applyNumberFormat="1" applyFont="1" applyBorder="1"/>
    <xf numFmtId="10" fontId="0" fillId="0" borderId="3" xfId="0" applyNumberFormat="1" applyBorder="1"/>
    <xf numFmtId="0" fontId="1" fillId="0" borderId="3" xfId="0" applyFont="1" applyBorder="1"/>
    <xf numFmtId="0" fontId="5" fillId="0" borderId="3" xfId="0" applyFont="1" applyBorder="1" applyAlignment="1">
      <alignment horizontal="center"/>
    </xf>
    <xf numFmtId="0" fontId="6" fillId="0" borderId="0" xfId="0" applyFont="1"/>
    <xf numFmtId="0" fontId="6" fillId="0" borderId="3" xfId="0" applyFont="1" applyBorder="1"/>
    <xf numFmtId="43" fontId="6" fillId="0" borderId="3" xfId="1" applyFont="1" applyBorder="1"/>
    <xf numFmtId="10" fontId="6" fillId="0" borderId="3" xfId="2" applyNumberFormat="1" applyFont="1" applyBorder="1"/>
    <xf numFmtId="43" fontId="0" fillId="0" borderId="0" xfId="1" applyNumberFormat="1" applyFont="1"/>
    <xf numFmtId="177" fontId="1" fillId="0" borderId="0" xfId="1" applyNumberFormat="1" applyFont="1"/>
    <xf numFmtId="177" fontId="0" fillId="0" borderId="0" xfId="1" applyNumberFormat="1" applyFont="1"/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1" applyNumberFormat="1" applyFont="1"/>
    <xf numFmtId="166" fontId="0" fillId="0" borderId="0" xfId="1" applyNumberFormat="1" applyFont="1"/>
    <xf numFmtId="166" fontId="0" fillId="0" borderId="3" xfId="0" applyNumberFormat="1" applyBorder="1"/>
    <xf numFmtId="2" fontId="1" fillId="0" borderId="0" xfId="1" applyNumberFormat="1" applyFont="1"/>
    <xf numFmtId="0" fontId="6" fillId="0" borderId="3" xfId="0" applyFont="1" applyFill="1" applyBorder="1"/>
    <xf numFmtId="43" fontId="6" fillId="0" borderId="3" xfId="1" applyFont="1" applyFill="1" applyBorder="1"/>
    <xf numFmtId="10" fontId="6" fillId="0" borderId="3" xfId="2" applyNumberFormat="1" applyFont="1" applyFill="1" applyBorder="1"/>
    <xf numFmtId="0" fontId="4" fillId="0" borderId="3" xfId="0" applyFont="1" applyBorder="1"/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166" fontId="0" fillId="2" borderId="0" xfId="1" applyNumberFormat="1" applyFont="1" applyFill="1"/>
    <xf numFmtId="177" fontId="0" fillId="2" borderId="0" xfId="1" applyNumberFormat="1" applyFont="1" applyFill="1"/>
    <xf numFmtId="2" fontId="0" fillId="2" borderId="0" xfId="1" applyNumberFormat="1" applyFont="1" applyFill="1"/>
    <xf numFmtId="10" fontId="0" fillId="2" borderId="0" xfId="2" applyNumberFormat="1" applyFont="1" applyFill="1"/>
    <xf numFmtId="0" fontId="0" fillId="0" borderId="0" xfId="0" applyAlignment="1">
      <alignment wrapText="1"/>
    </xf>
    <xf numFmtId="0" fontId="7" fillId="0" borderId="0" xfId="0" applyFont="1"/>
    <xf numFmtId="49" fontId="1" fillId="0" borderId="3" xfId="0" applyNumberFormat="1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2" fontId="1" fillId="0" borderId="0" xfId="0" applyNumberFormat="1" applyFont="1" applyAlignment="1">
      <alignment horizontal="left"/>
    </xf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166" fontId="0" fillId="0" borderId="0" xfId="1" applyNumberFormat="1" applyFont="1" applyFill="1" applyBorder="1" applyAlignment="1"/>
    <xf numFmtId="166" fontId="0" fillId="0" borderId="1" xfId="1" applyNumberFormat="1" applyFont="1" applyFill="1" applyBorder="1" applyAlignment="1"/>
    <xf numFmtId="166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Amazon's Quarterly Revenue (in $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Revenue_Amazon!$D$1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Revenue_Amazon!$C$2:$C$45</c:f>
              <c:strCache>
                <c:ptCount val="44"/>
                <c:pt idx="0">
                  <c:v>2010 - Q1</c:v>
                </c:pt>
                <c:pt idx="1">
                  <c:v>2010 - Q2</c:v>
                </c:pt>
                <c:pt idx="2">
                  <c:v>2010 - Q3</c:v>
                </c:pt>
                <c:pt idx="3">
                  <c:v>2010 - Q4</c:v>
                </c:pt>
                <c:pt idx="4">
                  <c:v>2011 - Q1</c:v>
                </c:pt>
                <c:pt idx="5">
                  <c:v>2011 - Q2</c:v>
                </c:pt>
                <c:pt idx="6">
                  <c:v>2011 - Q3</c:v>
                </c:pt>
                <c:pt idx="7">
                  <c:v>2011 - Q4</c:v>
                </c:pt>
                <c:pt idx="8">
                  <c:v>2012 - Q1</c:v>
                </c:pt>
                <c:pt idx="9">
                  <c:v>2012 - Q2</c:v>
                </c:pt>
                <c:pt idx="10">
                  <c:v>2012 - Q3</c:v>
                </c:pt>
                <c:pt idx="11">
                  <c:v>2012 - Q4</c:v>
                </c:pt>
                <c:pt idx="12">
                  <c:v>2013 - Q1</c:v>
                </c:pt>
                <c:pt idx="13">
                  <c:v>2013 - Q2</c:v>
                </c:pt>
                <c:pt idx="14">
                  <c:v>2013 - Q3</c:v>
                </c:pt>
                <c:pt idx="15">
                  <c:v>2013 - Q4</c:v>
                </c:pt>
                <c:pt idx="16">
                  <c:v>2014 - Q1</c:v>
                </c:pt>
                <c:pt idx="17">
                  <c:v>2014 - Q2</c:v>
                </c:pt>
                <c:pt idx="18">
                  <c:v>2014 - Q3</c:v>
                </c:pt>
                <c:pt idx="19">
                  <c:v>2014 - Q4</c:v>
                </c:pt>
                <c:pt idx="20">
                  <c:v>2015 - Q1</c:v>
                </c:pt>
                <c:pt idx="21">
                  <c:v>2015 - Q2</c:v>
                </c:pt>
                <c:pt idx="22">
                  <c:v>2015 - Q3</c:v>
                </c:pt>
                <c:pt idx="23">
                  <c:v>2015 - Q4</c:v>
                </c:pt>
                <c:pt idx="24">
                  <c:v>2016 - Q1</c:v>
                </c:pt>
                <c:pt idx="25">
                  <c:v>2016 - Q2</c:v>
                </c:pt>
                <c:pt idx="26">
                  <c:v>2016 - Q3</c:v>
                </c:pt>
                <c:pt idx="27">
                  <c:v>2016 - Q4</c:v>
                </c:pt>
                <c:pt idx="28">
                  <c:v>2017 - Q1</c:v>
                </c:pt>
                <c:pt idx="29">
                  <c:v>2017 - Q2</c:v>
                </c:pt>
                <c:pt idx="30">
                  <c:v>2017 - Q3</c:v>
                </c:pt>
                <c:pt idx="31">
                  <c:v>2017 - Q4</c:v>
                </c:pt>
                <c:pt idx="32">
                  <c:v>2018 - Q1</c:v>
                </c:pt>
                <c:pt idx="33">
                  <c:v>2018 - Q2</c:v>
                </c:pt>
                <c:pt idx="34">
                  <c:v>2018 - Q3</c:v>
                </c:pt>
                <c:pt idx="35">
                  <c:v>2018 - Q4</c:v>
                </c:pt>
                <c:pt idx="36">
                  <c:v>2019 - Q1</c:v>
                </c:pt>
                <c:pt idx="37">
                  <c:v>2019 - Q2</c:v>
                </c:pt>
                <c:pt idx="38">
                  <c:v>2019 - Q3</c:v>
                </c:pt>
                <c:pt idx="39">
                  <c:v>2019 - Q4</c:v>
                </c:pt>
                <c:pt idx="40">
                  <c:v>2020 - Q1</c:v>
                </c:pt>
                <c:pt idx="41">
                  <c:v>2020 - Q2</c:v>
                </c:pt>
                <c:pt idx="42">
                  <c:v>2020 - Q3</c:v>
                </c:pt>
                <c:pt idx="43">
                  <c:v>2020 - Q4</c:v>
                </c:pt>
              </c:strCache>
            </c:strRef>
          </c:xVal>
          <c:yVal>
            <c:numRef>
              <c:f>Revenue_Amazon!$D$2:$D$45</c:f>
              <c:numCache>
                <c:formatCode>General</c:formatCode>
                <c:ptCount val="44"/>
                <c:pt idx="0">
                  <c:v>7131</c:v>
                </c:pt>
                <c:pt idx="1">
                  <c:v>6566</c:v>
                </c:pt>
                <c:pt idx="2">
                  <c:v>7560</c:v>
                </c:pt>
                <c:pt idx="3">
                  <c:v>12947</c:v>
                </c:pt>
                <c:pt idx="4">
                  <c:v>9857</c:v>
                </c:pt>
                <c:pt idx="5">
                  <c:v>9913</c:v>
                </c:pt>
                <c:pt idx="6">
                  <c:v>10876</c:v>
                </c:pt>
                <c:pt idx="7">
                  <c:v>17431</c:v>
                </c:pt>
                <c:pt idx="8">
                  <c:v>13185</c:v>
                </c:pt>
                <c:pt idx="9">
                  <c:v>12834</c:v>
                </c:pt>
                <c:pt idx="10">
                  <c:v>13806</c:v>
                </c:pt>
                <c:pt idx="11">
                  <c:v>21268</c:v>
                </c:pt>
                <c:pt idx="12">
                  <c:v>16070</c:v>
                </c:pt>
                <c:pt idx="13">
                  <c:v>15704</c:v>
                </c:pt>
                <c:pt idx="14">
                  <c:v>17091</c:v>
                </c:pt>
                <c:pt idx="15">
                  <c:v>25587</c:v>
                </c:pt>
                <c:pt idx="16">
                  <c:v>19741</c:v>
                </c:pt>
                <c:pt idx="17">
                  <c:v>19340</c:v>
                </c:pt>
                <c:pt idx="18">
                  <c:v>20578</c:v>
                </c:pt>
                <c:pt idx="19">
                  <c:v>29329</c:v>
                </c:pt>
                <c:pt idx="20">
                  <c:v>22717</c:v>
                </c:pt>
                <c:pt idx="21">
                  <c:v>23184</c:v>
                </c:pt>
                <c:pt idx="22">
                  <c:v>25358</c:v>
                </c:pt>
                <c:pt idx="23">
                  <c:v>35747</c:v>
                </c:pt>
                <c:pt idx="24">
                  <c:v>29128</c:v>
                </c:pt>
                <c:pt idx="25">
                  <c:v>30404</c:v>
                </c:pt>
                <c:pt idx="26">
                  <c:v>32714</c:v>
                </c:pt>
                <c:pt idx="27">
                  <c:v>43741</c:v>
                </c:pt>
                <c:pt idx="28">
                  <c:v>35714</c:v>
                </c:pt>
                <c:pt idx="29">
                  <c:v>37955</c:v>
                </c:pt>
                <c:pt idx="30">
                  <c:v>43744</c:v>
                </c:pt>
                <c:pt idx="31">
                  <c:v>60453</c:v>
                </c:pt>
                <c:pt idx="32">
                  <c:v>51042</c:v>
                </c:pt>
                <c:pt idx="33">
                  <c:v>52886</c:v>
                </c:pt>
                <c:pt idx="34">
                  <c:v>56576</c:v>
                </c:pt>
                <c:pt idx="35" formatCode="#,##0">
                  <c:v>72383</c:v>
                </c:pt>
                <c:pt idx="36">
                  <c:v>59700</c:v>
                </c:pt>
                <c:pt idx="37">
                  <c:v>63404</c:v>
                </c:pt>
                <c:pt idx="38">
                  <c:v>69982</c:v>
                </c:pt>
                <c:pt idx="39">
                  <c:v>87436</c:v>
                </c:pt>
                <c:pt idx="40">
                  <c:v>75452</c:v>
                </c:pt>
                <c:pt idx="41">
                  <c:v>88912</c:v>
                </c:pt>
                <c:pt idx="42">
                  <c:v>96145</c:v>
                </c:pt>
                <c:pt idx="43">
                  <c:v>125555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9-AD47-820D-CF8E5266A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16655"/>
        <c:axId val="366929264"/>
      </c:scatterChart>
      <c:valAx>
        <c:axId val="2147016655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7810966879610006"/>
              <c:y val="0.83576588347237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29264"/>
        <c:crosses val="autoZero"/>
        <c:crossBetween val="midCat"/>
      </c:valAx>
      <c:valAx>
        <c:axId val="366929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1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Holt-Winters Method: 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Actual  &amp; Forecasted Revenue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5176507170412"/>
          <c:y val="0.12993522008706215"/>
          <c:w val="0.8260045208847091"/>
          <c:h val="0.731609413172593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'Holt Winter''s'!$D$1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'Holt Winter''s'!$C$2:$C$37</c:f>
              <c:strCache>
                <c:ptCount val="36"/>
                <c:pt idx="0">
                  <c:v>2010 - Q1</c:v>
                </c:pt>
                <c:pt idx="1">
                  <c:v>2010 - Q2</c:v>
                </c:pt>
                <c:pt idx="2">
                  <c:v>2010 - Q3</c:v>
                </c:pt>
                <c:pt idx="3">
                  <c:v>2010 - Q4</c:v>
                </c:pt>
                <c:pt idx="4">
                  <c:v>2011 - Q1</c:v>
                </c:pt>
                <c:pt idx="5">
                  <c:v>2011 - Q2</c:v>
                </c:pt>
                <c:pt idx="6">
                  <c:v>2011 - Q3</c:v>
                </c:pt>
                <c:pt idx="7">
                  <c:v>2011 - Q4</c:v>
                </c:pt>
                <c:pt idx="8">
                  <c:v>2012 - Q1</c:v>
                </c:pt>
                <c:pt idx="9">
                  <c:v>2012 - Q2</c:v>
                </c:pt>
                <c:pt idx="10">
                  <c:v>2012 - Q3</c:v>
                </c:pt>
                <c:pt idx="11">
                  <c:v>2012 - Q4</c:v>
                </c:pt>
                <c:pt idx="12">
                  <c:v>2013 - Q1</c:v>
                </c:pt>
                <c:pt idx="13">
                  <c:v>2013 - Q2</c:v>
                </c:pt>
                <c:pt idx="14">
                  <c:v>2013 - Q3</c:v>
                </c:pt>
                <c:pt idx="15">
                  <c:v>2013 - Q4</c:v>
                </c:pt>
                <c:pt idx="16">
                  <c:v>2014 - Q1</c:v>
                </c:pt>
                <c:pt idx="17">
                  <c:v>2014 - Q2</c:v>
                </c:pt>
                <c:pt idx="18">
                  <c:v>2014 - Q3</c:v>
                </c:pt>
                <c:pt idx="19">
                  <c:v>2014 - Q4</c:v>
                </c:pt>
                <c:pt idx="20">
                  <c:v>2015 - Q1</c:v>
                </c:pt>
                <c:pt idx="21">
                  <c:v>2015 - Q2</c:v>
                </c:pt>
                <c:pt idx="22">
                  <c:v>2015 - Q3</c:v>
                </c:pt>
                <c:pt idx="23">
                  <c:v>2015 - Q4</c:v>
                </c:pt>
                <c:pt idx="24">
                  <c:v>2016 - Q1</c:v>
                </c:pt>
                <c:pt idx="25">
                  <c:v>2016 - Q2</c:v>
                </c:pt>
                <c:pt idx="26">
                  <c:v>2016 - Q3</c:v>
                </c:pt>
                <c:pt idx="27">
                  <c:v>2016 - Q4</c:v>
                </c:pt>
                <c:pt idx="28">
                  <c:v>2017 - Q1</c:v>
                </c:pt>
                <c:pt idx="29">
                  <c:v>2017 - Q2</c:v>
                </c:pt>
                <c:pt idx="30">
                  <c:v>2017 - Q3</c:v>
                </c:pt>
                <c:pt idx="31">
                  <c:v>2017 - Q4</c:v>
                </c:pt>
                <c:pt idx="32">
                  <c:v>2018 - Q1</c:v>
                </c:pt>
                <c:pt idx="33">
                  <c:v>2018 - Q2</c:v>
                </c:pt>
                <c:pt idx="34">
                  <c:v>2018 - Q3</c:v>
                </c:pt>
                <c:pt idx="35">
                  <c:v>2018 - Q4</c:v>
                </c:pt>
              </c:strCache>
            </c:strRef>
          </c:xVal>
          <c:yVal>
            <c:numRef>
              <c:f>'Holt Winter''s'!$D$2:$D$37</c:f>
              <c:numCache>
                <c:formatCode>0</c:formatCode>
                <c:ptCount val="36"/>
                <c:pt idx="0">
                  <c:v>7131</c:v>
                </c:pt>
                <c:pt idx="1">
                  <c:v>6566</c:v>
                </c:pt>
                <c:pt idx="2">
                  <c:v>7560</c:v>
                </c:pt>
                <c:pt idx="3">
                  <c:v>12947</c:v>
                </c:pt>
                <c:pt idx="4">
                  <c:v>9857</c:v>
                </c:pt>
                <c:pt idx="5">
                  <c:v>9913</c:v>
                </c:pt>
                <c:pt idx="6">
                  <c:v>10876</c:v>
                </c:pt>
                <c:pt idx="7">
                  <c:v>17431</c:v>
                </c:pt>
                <c:pt idx="8">
                  <c:v>13185</c:v>
                </c:pt>
                <c:pt idx="9">
                  <c:v>12834</c:v>
                </c:pt>
                <c:pt idx="10">
                  <c:v>13806</c:v>
                </c:pt>
                <c:pt idx="11">
                  <c:v>21268</c:v>
                </c:pt>
                <c:pt idx="12">
                  <c:v>16070</c:v>
                </c:pt>
                <c:pt idx="13">
                  <c:v>15704</c:v>
                </c:pt>
                <c:pt idx="14">
                  <c:v>17091</c:v>
                </c:pt>
                <c:pt idx="15">
                  <c:v>25587</c:v>
                </c:pt>
                <c:pt idx="16">
                  <c:v>19741</c:v>
                </c:pt>
                <c:pt idx="17">
                  <c:v>19340</c:v>
                </c:pt>
                <c:pt idx="18">
                  <c:v>20578</c:v>
                </c:pt>
                <c:pt idx="19">
                  <c:v>29329</c:v>
                </c:pt>
                <c:pt idx="20">
                  <c:v>22717</c:v>
                </c:pt>
                <c:pt idx="21">
                  <c:v>23184</c:v>
                </c:pt>
                <c:pt idx="22">
                  <c:v>25358</c:v>
                </c:pt>
                <c:pt idx="23">
                  <c:v>35747</c:v>
                </c:pt>
                <c:pt idx="24">
                  <c:v>29128</c:v>
                </c:pt>
                <c:pt idx="25">
                  <c:v>30404</c:v>
                </c:pt>
                <c:pt idx="26">
                  <c:v>32714</c:v>
                </c:pt>
                <c:pt idx="27">
                  <c:v>43741</c:v>
                </c:pt>
                <c:pt idx="28">
                  <c:v>35714</c:v>
                </c:pt>
                <c:pt idx="29">
                  <c:v>37955</c:v>
                </c:pt>
                <c:pt idx="30">
                  <c:v>43744</c:v>
                </c:pt>
                <c:pt idx="31">
                  <c:v>60453</c:v>
                </c:pt>
                <c:pt idx="32">
                  <c:v>51042</c:v>
                </c:pt>
                <c:pt idx="33">
                  <c:v>52886</c:v>
                </c:pt>
                <c:pt idx="34">
                  <c:v>56576</c:v>
                </c:pt>
                <c:pt idx="35">
                  <c:v>72383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8-1441-AB1A-38EB0E1EE057}"/>
            </c:ext>
          </c:extLst>
        </c:ser>
        <c:ser>
          <c:idx val="1"/>
          <c:order val="1"/>
          <c:tx>
            <c:strRef>
              <c:f>'Holt Winter''s'!$H$1</c:f>
              <c:strCache>
                <c:ptCount val="1"/>
                <c:pt idx="0">
                  <c:v> Forecast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'Holt Winter''s'!$C$2:$C$37</c:f>
              <c:strCache>
                <c:ptCount val="36"/>
                <c:pt idx="0">
                  <c:v>2010 - Q1</c:v>
                </c:pt>
                <c:pt idx="1">
                  <c:v>2010 - Q2</c:v>
                </c:pt>
                <c:pt idx="2">
                  <c:v>2010 - Q3</c:v>
                </c:pt>
                <c:pt idx="3">
                  <c:v>2010 - Q4</c:v>
                </c:pt>
                <c:pt idx="4">
                  <c:v>2011 - Q1</c:v>
                </c:pt>
                <c:pt idx="5">
                  <c:v>2011 - Q2</c:v>
                </c:pt>
                <c:pt idx="6">
                  <c:v>2011 - Q3</c:v>
                </c:pt>
                <c:pt idx="7">
                  <c:v>2011 - Q4</c:v>
                </c:pt>
                <c:pt idx="8">
                  <c:v>2012 - Q1</c:v>
                </c:pt>
                <c:pt idx="9">
                  <c:v>2012 - Q2</c:v>
                </c:pt>
                <c:pt idx="10">
                  <c:v>2012 - Q3</c:v>
                </c:pt>
                <c:pt idx="11">
                  <c:v>2012 - Q4</c:v>
                </c:pt>
                <c:pt idx="12">
                  <c:v>2013 - Q1</c:v>
                </c:pt>
                <c:pt idx="13">
                  <c:v>2013 - Q2</c:v>
                </c:pt>
                <c:pt idx="14">
                  <c:v>2013 - Q3</c:v>
                </c:pt>
                <c:pt idx="15">
                  <c:v>2013 - Q4</c:v>
                </c:pt>
                <c:pt idx="16">
                  <c:v>2014 - Q1</c:v>
                </c:pt>
                <c:pt idx="17">
                  <c:v>2014 - Q2</c:v>
                </c:pt>
                <c:pt idx="18">
                  <c:v>2014 - Q3</c:v>
                </c:pt>
                <c:pt idx="19">
                  <c:v>2014 - Q4</c:v>
                </c:pt>
                <c:pt idx="20">
                  <c:v>2015 - Q1</c:v>
                </c:pt>
                <c:pt idx="21">
                  <c:v>2015 - Q2</c:v>
                </c:pt>
                <c:pt idx="22">
                  <c:v>2015 - Q3</c:v>
                </c:pt>
                <c:pt idx="23">
                  <c:v>2015 - Q4</c:v>
                </c:pt>
                <c:pt idx="24">
                  <c:v>2016 - Q1</c:v>
                </c:pt>
                <c:pt idx="25">
                  <c:v>2016 - Q2</c:v>
                </c:pt>
                <c:pt idx="26">
                  <c:v>2016 - Q3</c:v>
                </c:pt>
                <c:pt idx="27">
                  <c:v>2016 - Q4</c:v>
                </c:pt>
                <c:pt idx="28">
                  <c:v>2017 - Q1</c:v>
                </c:pt>
                <c:pt idx="29">
                  <c:v>2017 - Q2</c:v>
                </c:pt>
                <c:pt idx="30">
                  <c:v>2017 - Q3</c:v>
                </c:pt>
                <c:pt idx="31">
                  <c:v>2017 - Q4</c:v>
                </c:pt>
                <c:pt idx="32">
                  <c:v>2018 - Q1</c:v>
                </c:pt>
                <c:pt idx="33">
                  <c:v>2018 - Q2</c:v>
                </c:pt>
                <c:pt idx="34">
                  <c:v>2018 - Q3</c:v>
                </c:pt>
                <c:pt idx="35">
                  <c:v>2018 - Q4</c:v>
                </c:pt>
              </c:strCache>
            </c:strRef>
          </c:xVal>
          <c:yVal>
            <c:numRef>
              <c:f>'Holt Winter''s'!$H$2:$H$37</c:f>
              <c:numCache>
                <c:formatCode>_(* #,##0.0000_);_(* \(#,##0.0000\);_(* "-"??_);_(@_)</c:formatCode>
                <c:ptCount val="36"/>
                <c:pt idx="5">
                  <c:v>11586.029729350723</c:v>
                </c:pt>
                <c:pt idx="6">
                  <c:v>14530.102156419765</c:v>
                </c:pt>
                <c:pt idx="7">
                  <c:v>23169.251751543201</c:v>
                </c:pt>
                <c:pt idx="8">
                  <c:v>10876.867412111676</c:v>
                </c:pt>
                <c:pt idx="9">
                  <c:v>10866.431292116929</c:v>
                </c:pt>
                <c:pt idx="10">
                  <c:v>14096.74683448255</c:v>
                </c:pt>
                <c:pt idx="11">
                  <c:v>25983.106451364576</c:v>
                </c:pt>
                <c:pt idx="12">
                  <c:v>16488.828975708064</c:v>
                </c:pt>
                <c:pt idx="13">
                  <c:v>13856.210131768405</c:v>
                </c:pt>
                <c:pt idx="14">
                  <c:v>15420.437822346212</c:v>
                </c:pt>
                <c:pt idx="15">
                  <c:v>27742.056164256646</c:v>
                </c:pt>
                <c:pt idx="16">
                  <c:v>21023.002752619544</c:v>
                </c:pt>
                <c:pt idx="17">
                  <c:v>18898.568963059068</c:v>
                </c:pt>
                <c:pt idx="18">
                  <c:v>19376.016857544819</c:v>
                </c:pt>
                <c:pt idx="19">
                  <c:v>30464.541440195451</c:v>
                </c:pt>
                <c:pt idx="20">
                  <c:v>23541.061496054459</c:v>
                </c:pt>
                <c:pt idx="21">
                  <c:v>22296.481193485906</c:v>
                </c:pt>
                <c:pt idx="22">
                  <c:v>23517.865222084274</c:v>
                </c:pt>
                <c:pt idx="23">
                  <c:v>35896.358113962648</c:v>
                </c:pt>
                <c:pt idx="24">
                  <c:v>28752.738289629502</c:v>
                </c:pt>
                <c:pt idx="25">
                  <c:v>29829.648672728075</c:v>
                </c:pt>
                <c:pt idx="26">
                  <c:v>32320.025607899108</c:v>
                </c:pt>
                <c:pt idx="27">
                  <c:v>45948.800385705756</c:v>
                </c:pt>
                <c:pt idx="28">
                  <c:v>35724.510769349356</c:v>
                </c:pt>
                <c:pt idx="29">
                  <c:v>36294.997492693634</c:v>
                </c:pt>
                <c:pt idx="30">
                  <c:v>39475.507466428033</c:v>
                </c:pt>
                <c:pt idx="31">
                  <c:v>58521.411209762227</c:v>
                </c:pt>
                <c:pt idx="32">
                  <c:v>50727.429583956917</c:v>
                </c:pt>
                <c:pt idx="33">
                  <c:v>54904.752335050856</c:v>
                </c:pt>
                <c:pt idx="34">
                  <c:v>59240.826981570841</c:v>
                </c:pt>
                <c:pt idx="35">
                  <c:v>75800.101709666851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8-1441-AB1A-38EB0E1E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60896"/>
        <c:axId val="2096159695"/>
      </c:scatterChart>
      <c:valAx>
        <c:axId val="32736089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97411257963865183"/>
              <c:y val="0.74483120958036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59695"/>
        <c:crosses val="autoZero"/>
        <c:crossBetween val="midCat"/>
      </c:valAx>
      <c:valAx>
        <c:axId val="20961596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Forecasted Revenues from Trend models and Holt-Winter's Exponential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'Validation Set-Predicted Values'!$D$2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'Validation Set-Predicted Values'!$C$3:$C$10</c:f>
              <c:strCache>
                <c:ptCount val="8"/>
                <c:pt idx="0">
                  <c:v>2019 - Q1</c:v>
                </c:pt>
                <c:pt idx="1">
                  <c:v>2019 - Q2</c:v>
                </c:pt>
                <c:pt idx="2">
                  <c:v>2019 - Q3</c:v>
                </c:pt>
                <c:pt idx="3">
                  <c:v>2019 - Q4</c:v>
                </c:pt>
                <c:pt idx="4">
                  <c:v>2020 - Q1</c:v>
                </c:pt>
                <c:pt idx="5">
                  <c:v>2020 - Q2</c:v>
                </c:pt>
                <c:pt idx="6">
                  <c:v>2020 - Q3</c:v>
                </c:pt>
                <c:pt idx="7">
                  <c:v>2020 - Q4</c:v>
                </c:pt>
              </c:strCache>
            </c:strRef>
          </c:xVal>
          <c:yVal>
            <c:numRef>
              <c:f>'Validation Set-Predicted Values'!$D$3:$D$10</c:f>
              <c:numCache>
                <c:formatCode>General</c:formatCode>
                <c:ptCount val="8"/>
                <c:pt idx="0">
                  <c:v>59700</c:v>
                </c:pt>
                <c:pt idx="1">
                  <c:v>63404</c:v>
                </c:pt>
                <c:pt idx="2">
                  <c:v>69982</c:v>
                </c:pt>
                <c:pt idx="3">
                  <c:v>87436</c:v>
                </c:pt>
                <c:pt idx="4">
                  <c:v>75452</c:v>
                </c:pt>
                <c:pt idx="5">
                  <c:v>88912</c:v>
                </c:pt>
                <c:pt idx="6">
                  <c:v>96145</c:v>
                </c:pt>
                <c:pt idx="7">
                  <c:v>125555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0-3346-9BCB-456DC7F3C820}"/>
            </c:ext>
          </c:extLst>
        </c:ser>
        <c:ser>
          <c:idx val="1"/>
          <c:order val="1"/>
          <c:tx>
            <c:strRef>
              <c:f>'Validation Set-Predicted Values'!$E$2</c:f>
              <c:strCache>
                <c:ptCount val="1"/>
                <c:pt idx="0">
                  <c:v>Linear Trend - Predicted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'Validation Set-Predicted Values'!$C$3:$C$10</c:f>
              <c:strCache>
                <c:ptCount val="8"/>
                <c:pt idx="0">
                  <c:v>2019 - Q1</c:v>
                </c:pt>
                <c:pt idx="1">
                  <c:v>2019 - Q2</c:v>
                </c:pt>
                <c:pt idx="2">
                  <c:v>2019 - Q3</c:v>
                </c:pt>
                <c:pt idx="3">
                  <c:v>2019 - Q4</c:v>
                </c:pt>
                <c:pt idx="4">
                  <c:v>2020 - Q1</c:v>
                </c:pt>
                <c:pt idx="5">
                  <c:v>2020 - Q2</c:v>
                </c:pt>
                <c:pt idx="6">
                  <c:v>2020 - Q3</c:v>
                </c:pt>
                <c:pt idx="7">
                  <c:v>2020 - Q4</c:v>
                </c:pt>
              </c:strCache>
            </c:strRef>
          </c:xVal>
          <c:yVal>
            <c:numRef>
              <c:f>'Validation Set-Predicted Values'!$E$3:$E$10</c:f>
              <c:numCache>
                <c:formatCode>_(* #,##0.00_);_(* \(#,##0.00\);_(* "-"??_);_(@_)</c:formatCode>
                <c:ptCount val="8"/>
                <c:pt idx="0">
                  <c:v>51199.187500000015</c:v>
                </c:pt>
                <c:pt idx="1">
                  <c:v>51665.965277777796</c:v>
                </c:pt>
                <c:pt idx="2">
                  <c:v>53834.520833333358</c:v>
                </c:pt>
                <c:pt idx="3">
                  <c:v>63899.298611111131</c:v>
                </c:pt>
                <c:pt idx="4">
                  <c:v>56892.69166666668</c:v>
                </c:pt>
                <c:pt idx="5">
                  <c:v>57359.469444444469</c:v>
                </c:pt>
                <c:pt idx="6">
                  <c:v>59528.025000000023</c:v>
                </c:pt>
                <c:pt idx="7">
                  <c:v>69592.802777777804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0-3346-9BCB-456DC7F3C820}"/>
            </c:ext>
          </c:extLst>
        </c:ser>
        <c:ser>
          <c:idx val="2"/>
          <c:order val="2"/>
          <c:tx>
            <c:strRef>
              <c:f>'Validation Set-Predicted Values'!$F$2</c:f>
              <c:strCache>
                <c:ptCount val="1"/>
                <c:pt idx="0">
                  <c:v>Exponential Trend - Predicted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'Validation Set-Predicted Values'!$C$3:$C$10</c:f>
              <c:strCache>
                <c:ptCount val="8"/>
                <c:pt idx="0">
                  <c:v>2019 - Q1</c:v>
                </c:pt>
                <c:pt idx="1">
                  <c:v>2019 - Q2</c:v>
                </c:pt>
                <c:pt idx="2">
                  <c:v>2019 - Q3</c:v>
                </c:pt>
                <c:pt idx="3">
                  <c:v>2019 - Q4</c:v>
                </c:pt>
                <c:pt idx="4">
                  <c:v>2020 - Q1</c:v>
                </c:pt>
                <c:pt idx="5">
                  <c:v>2020 - Q2</c:v>
                </c:pt>
                <c:pt idx="6">
                  <c:v>2020 - Q3</c:v>
                </c:pt>
                <c:pt idx="7">
                  <c:v>2020 - Q4</c:v>
                </c:pt>
              </c:strCache>
            </c:strRef>
          </c:xVal>
          <c:yVal>
            <c:numRef>
              <c:f>'Validation Set-Predicted Values'!$F$3:$F$10</c:f>
              <c:numCache>
                <c:formatCode>_(* #,##0.00_);_(* \(#,##0.00\);_(* "-"??_);_(@_)</c:formatCode>
                <c:ptCount val="8"/>
                <c:pt idx="0">
                  <c:v>60390.071730985939</c:v>
                </c:pt>
                <c:pt idx="1">
                  <c:v>60471.63377306574</c:v>
                </c:pt>
                <c:pt idx="2">
                  <c:v>66281.494237225605</c:v>
                </c:pt>
                <c:pt idx="3">
                  <c:v>96744.070501157839</c:v>
                </c:pt>
                <c:pt idx="4">
                  <c:v>75909.268293649788</c:v>
                </c:pt>
                <c:pt idx="5">
                  <c:v>76011.790359899111</c:v>
                </c:pt>
                <c:pt idx="6">
                  <c:v>83314.683767397757</c:v>
                </c:pt>
                <c:pt idx="7">
                  <c:v>121605.61153505131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0-3346-9BCB-456DC7F3C820}"/>
            </c:ext>
          </c:extLst>
        </c:ser>
        <c:ser>
          <c:idx val="3"/>
          <c:order val="3"/>
          <c:tx>
            <c:strRef>
              <c:f>'Validation Set-Predicted Values'!$G$2</c:f>
              <c:strCache>
                <c:ptCount val="1"/>
                <c:pt idx="0">
                  <c:v>Quadratic Trend - Predicted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'Validation Set-Predicted Values'!$C$3:$C$10</c:f>
              <c:strCache>
                <c:ptCount val="8"/>
                <c:pt idx="0">
                  <c:v>2019 - Q1</c:v>
                </c:pt>
                <c:pt idx="1">
                  <c:v>2019 - Q2</c:v>
                </c:pt>
                <c:pt idx="2">
                  <c:v>2019 - Q3</c:v>
                </c:pt>
                <c:pt idx="3">
                  <c:v>2019 - Q4</c:v>
                </c:pt>
                <c:pt idx="4">
                  <c:v>2020 - Q1</c:v>
                </c:pt>
                <c:pt idx="5">
                  <c:v>2020 - Q2</c:v>
                </c:pt>
                <c:pt idx="6">
                  <c:v>2020 - Q3</c:v>
                </c:pt>
                <c:pt idx="7">
                  <c:v>2020 - Q4</c:v>
                </c:pt>
              </c:strCache>
            </c:strRef>
          </c:xVal>
          <c:yVal>
            <c:numRef>
              <c:f>'Validation Set-Predicted Values'!$G$3:$G$10</c:f>
              <c:numCache>
                <c:formatCode>_(* #,##0.00_);_(* \(#,##0.00\);_(* "-"??_);_(@_)</c:formatCode>
                <c:ptCount val="8"/>
                <c:pt idx="0">
                  <c:v>62109.294004505638</c:v>
                </c:pt>
                <c:pt idx="1">
                  <c:v>64446.375754484397</c:v>
                </c:pt>
                <c:pt idx="2">
                  <c:v>68485.235282240916</c:v>
                </c:pt>
                <c:pt idx="3">
                  <c:v>80420.317032219667</c:v>
                </c:pt>
                <c:pt idx="4">
                  <c:v>75471.044457196273</c:v>
                </c:pt>
                <c:pt idx="5">
                  <c:v>78182.187001615224</c:v>
                </c:pt>
                <c:pt idx="6">
                  <c:v>82595.107323811942</c:v>
                </c:pt>
                <c:pt idx="7">
                  <c:v>94904.249868230865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20-3346-9BCB-456DC7F3C820}"/>
            </c:ext>
          </c:extLst>
        </c:ser>
        <c:ser>
          <c:idx val="4"/>
          <c:order val="4"/>
          <c:tx>
            <c:strRef>
              <c:f>'Validation Set-Predicted Values'!$H$2</c:f>
              <c:strCache>
                <c:ptCount val="1"/>
                <c:pt idx="0">
                  <c:v>Cubic Trend - 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'Validation Set-Predicted Values'!$C$3:$C$10</c:f>
              <c:strCache>
                <c:ptCount val="8"/>
                <c:pt idx="0">
                  <c:v>2019 - Q1</c:v>
                </c:pt>
                <c:pt idx="1">
                  <c:v>2019 - Q2</c:v>
                </c:pt>
                <c:pt idx="2">
                  <c:v>2019 - Q3</c:v>
                </c:pt>
                <c:pt idx="3">
                  <c:v>2019 - Q4</c:v>
                </c:pt>
                <c:pt idx="4">
                  <c:v>2020 - Q1</c:v>
                </c:pt>
                <c:pt idx="5">
                  <c:v>2020 - Q2</c:v>
                </c:pt>
                <c:pt idx="6">
                  <c:v>2020 - Q3</c:v>
                </c:pt>
                <c:pt idx="7">
                  <c:v>2020 - Q4</c:v>
                </c:pt>
              </c:strCache>
            </c:strRef>
          </c:xVal>
          <c:yVal>
            <c:numRef>
              <c:f>'Validation Set-Predicted Values'!$H$3:$H$10</c:f>
              <c:numCache>
                <c:formatCode>_(* #,##0.00_);_(* \(#,##0.00\);_(* "-"??_);_(@_)</c:formatCode>
                <c:ptCount val="8"/>
                <c:pt idx="0">
                  <c:v>67979.970549571211</c:v>
                </c:pt>
                <c:pt idx="1">
                  <c:v>71822.353977771898</c:v>
                </c:pt>
                <c:pt idx="2">
                  <c:v>77604.194396101171</c:v>
                </c:pt>
                <c:pt idx="3">
                  <c:v>91519.936249003542</c:v>
                </c:pt>
                <c:pt idx="4">
                  <c:v>89836.376051680592</c:v>
                </c:pt>
                <c:pt idx="5">
                  <c:v>95051.072966194959</c:v>
                </c:pt>
                <c:pt idx="6">
                  <c:v>102252.7627133081</c:v>
                </c:pt>
                <c:pt idx="7">
                  <c:v>117635.88973746447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20-3346-9BCB-456DC7F3C820}"/>
            </c:ext>
          </c:extLst>
        </c:ser>
        <c:ser>
          <c:idx val="5"/>
          <c:order val="5"/>
          <c:tx>
            <c:strRef>
              <c:f>'Validation Set-Predicted Values'!$I$2</c:f>
              <c:strCache>
                <c:ptCount val="1"/>
                <c:pt idx="0">
                  <c:v>Holt Winter's-Predicted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'Validation Set-Predicted Values'!$C$3:$C$10</c:f>
              <c:strCache>
                <c:ptCount val="8"/>
                <c:pt idx="0">
                  <c:v>2019 - Q1</c:v>
                </c:pt>
                <c:pt idx="1">
                  <c:v>2019 - Q2</c:v>
                </c:pt>
                <c:pt idx="2">
                  <c:v>2019 - Q3</c:v>
                </c:pt>
                <c:pt idx="3">
                  <c:v>2019 - Q4</c:v>
                </c:pt>
                <c:pt idx="4">
                  <c:v>2020 - Q1</c:v>
                </c:pt>
                <c:pt idx="5">
                  <c:v>2020 - Q2</c:v>
                </c:pt>
                <c:pt idx="6">
                  <c:v>2020 - Q3</c:v>
                </c:pt>
                <c:pt idx="7">
                  <c:v>2020 - Q4</c:v>
                </c:pt>
              </c:strCache>
            </c:strRef>
          </c:xVal>
          <c:yVal>
            <c:numRef>
              <c:f>'Validation Set-Predicted Values'!$I$3:$I$10</c:f>
              <c:numCache>
                <c:formatCode>_(* #,##0.00_);_(* \(#,##0.00\);_(* "-"??_);_(@_)</c:formatCode>
                <c:ptCount val="8"/>
                <c:pt idx="0">
                  <c:v>58936.702926852064</c:v>
                </c:pt>
                <c:pt idx="1">
                  <c:v>59868.050867510094</c:v>
                </c:pt>
                <c:pt idx="2">
                  <c:v>66826.798132133219</c:v>
                </c:pt>
                <c:pt idx="3">
                  <c:v>91281.771388004534</c:v>
                </c:pt>
                <c:pt idx="4">
                  <c:v>74250.336125022019</c:v>
                </c:pt>
                <c:pt idx="5">
                  <c:v>78314.489104391992</c:v>
                </c:pt>
                <c:pt idx="6">
                  <c:v>93586.367427762467</c:v>
                </c:pt>
                <c:pt idx="7">
                  <c:v>124310.69705500371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20-3346-9BCB-456DC7F3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57104"/>
        <c:axId val="366061472"/>
      </c:scatterChart>
      <c:valAx>
        <c:axId val="3665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61472"/>
        <c:crosses val="autoZero"/>
        <c:crossBetween val="midCat"/>
      </c:valAx>
      <c:valAx>
        <c:axId val="3660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5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661459</xdr:colOff>
      <xdr:row>3</xdr:row>
      <xdr:rowOff>147109</xdr:rowOff>
    </xdr:from>
    <xdr:to>
      <xdr:col>20</xdr:col>
      <xdr:colOff>619760</xdr:colOff>
      <xdr:row>25</xdr:row>
      <xdr:rowOff>91441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851DF-C24D-23AA-2661-79E77ECC3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113731</xdr:rowOff>
    </xdr:from>
    <xdr:to>
      <xdr:col>18</xdr:col>
      <xdr:colOff>123211</xdr:colOff>
      <xdr:row>27</xdr:row>
      <xdr:rowOff>9478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8667-F2E4-C78E-2A59-2F24D0DCA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805596</xdr:colOff>
      <xdr:row>18</xdr:row>
      <xdr:rowOff>1</xdr:rowOff>
    </xdr:from>
    <xdr:to>
      <xdr:col>24</xdr:col>
      <xdr:colOff>521269</xdr:colOff>
      <xdr:row>28</xdr:row>
      <xdr:rowOff>5312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B95C07-EDD2-DF0D-A3F2-CBD7D324A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8133" y="3411941"/>
          <a:ext cx="4662986" cy="1900834"/>
        </a:xfrm>
        <a:prstGeom prst="rect">
          <a:avLst/>
        </a:prstGeom>
      </xdr:spPr>
    </xdr:pic>
    <xdr:clientData/>
  </xdr:twoCellAnchor>
  <xdr:twoCellAnchor editAs="oneCell">
    <xdr:from>
      <xdr:col>18</xdr:col>
      <xdr:colOff>805598</xdr:colOff>
      <xdr:row>1</xdr:row>
      <xdr:rowOff>170598</xdr:rowOff>
    </xdr:from>
    <xdr:to>
      <xdr:col>24</xdr:col>
      <xdr:colOff>527850</xdr:colOff>
      <xdr:row>8</xdr:row>
      <xdr:rowOff>66343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F9D21A-91CC-CAC5-65DA-1BA2A5E29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8135" y="360150"/>
          <a:ext cx="4669565" cy="1222611"/>
        </a:xfrm>
        <a:prstGeom prst="rect">
          <a:avLst/>
        </a:prstGeom>
      </xdr:spPr>
    </xdr:pic>
    <xdr:clientData/>
  </xdr:twoCellAnchor>
  <xdr:twoCellAnchor editAs="oneCell">
    <xdr:from>
      <xdr:col>18</xdr:col>
      <xdr:colOff>803957</xdr:colOff>
      <xdr:row>8</xdr:row>
      <xdr:rowOff>187913</xdr:rowOff>
    </xdr:from>
    <xdr:to>
      <xdr:col>24</xdr:col>
      <xdr:colOff>540225</xdr:colOff>
      <xdr:row>11</xdr:row>
      <xdr:rowOff>121972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956C20-C79D-5889-7327-B7DB65744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6494" y="1704331"/>
          <a:ext cx="4683581" cy="502716"/>
        </a:xfrm>
        <a:prstGeom prst="rect">
          <a:avLst/>
        </a:prstGeom>
      </xdr:spPr>
    </xdr:pic>
    <xdr:clientData/>
  </xdr:twoCellAnchor>
  <xdr:twoCellAnchor editAs="oneCell">
    <xdr:from>
      <xdr:col>18</xdr:col>
      <xdr:colOff>811791</xdr:colOff>
      <xdr:row>12</xdr:row>
      <xdr:rowOff>6194</xdr:rowOff>
    </xdr:from>
    <xdr:to>
      <xdr:col>20</xdr:col>
      <xdr:colOff>722193</xdr:colOff>
      <xdr:row>17</xdr:row>
      <xdr:rowOff>47388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BAA9DF-7A49-B199-F2A1-9932959D5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4328" y="2280821"/>
          <a:ext cx="1559506" cy="988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179916</xdr:rowOff>
    </xdr:from>
    <xdr:to>
      <xdr:col>8</xdr:col>
      <xdr:colOff>529167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C26C2-DAA0-7DF2-BF4A-F6DC796F8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5BFFA73-1FC7-5646-9241-58ECCEB18974}">
  <we:reference id="wa200000019" version="23.3.0.0" store="en-001" storeType="OMEX"/>
  <we:alternateReferences>
    <we:reference id="wa200000019" version="23.3.0.0" store="en-00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96CF1AF5-605F-5242-A658-A7FC91B14DE9}">
  <we:reference id="wa200000018" version="23.3.0.0" store="en-US" storeType="OMEX"/>
  <we:alternateReferences>
    <we:reference id="wa200000018" version="23.3.0.0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27C3-E091-4BF2-A37C-555E06819D44}">
  <dimension ref="A1:J45"/>
  <sheetViews>
    <sheetView zoomScale="125" zoomScaleNormal="120" workbookViewId="0">
      <selection activeCell="Q33" sqref="Q33"/>
    </sheetView>
  </sheetViews>
  <sheetFormatPr baseColWidth="10" defaultColWidth="8.83203125" defaultRowHeight="15" x14ac:dyDescent="0.2"/>
  <cols>
    <col min="1" max="2" width="8.6640625" style="2"/>
    <col min="3" max="3" width="8.83203125" style="33"/>
    <col min="4" max="4" width="10.5" style="2" customWidth="1"/>
    <col min="10" max="10" width="8.6640625" customWidth="1"/>
  </cols>
  <sheetData>
    <row r="1" spans="1:10" s="6" customFormat="1" x14ac:dyDescent="0.2">
      <c r="A1" s="4" t="s">
        <v>0</v>
      </c>
      <c r="B1" s="4" t="s">
        <v>1</v>
      </c>
      <c r="C1" s="57" t="s">
        <v>51</v>
      </c>
      <c r="D1" s="5" t="s">
        <v>2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32</v>
      </c>
      <c r="J1" s="6" t="s">
        <v>33</v>
      </c>
    </row>
    <row r="2" spans="1:10" x14ac:dyDescent="0.2">
      <c r="A2" s="2">
        <v>2010</v>
      </c>
      <c r="B2" s="2">
        <v>1</v>
      </c>
      <c r="C2" s="33" t="str">
        <f>_xlfn.CONCAT(A2, " - Q", B2)</f>
        <v>2010 - Q1</v>
      </c>
      <c r="D2" s="2">
        <v>7131</v>
      </c>
      <c r="E2">
        <f>IF(B2=1,1,0)</f>
        <v>1</v>
      </c>
      <c r="F2">
        <f>IF(B2=2,1,0)</f>
        <v>0</v>
      </c>
      <c r="G2">
        <f>IF(B2=3,1,0)</f>
        <v>0</v>
      </c>
      <c r="H2">
        <v>1</v>
      </c>
      <c r="I2">
        <f>H2^2</f>
        <v>1</v>
      </c>
      <c r="J2">
        <f>H2^3</f>
        <v>1</v>
      </c>
    </row>
    <row r="3" spans="1:10" x14ac:dyDescent="0.2">
      <c r="A3" s="2">
        <v>2010</v>
      </c>
      <c r="B3" s="2">
        <v>2</v>
      </c>
      <c r="C3" s="33" t="str">
        <f t="shared" ref="C3:C45" si="0">_xlfn.CONCAT(A3, " - Q", B3)</f>
        <v>2010 - Q2</v>
      </c>
      <c r="D3" s="2">
        <v>6566</v>
      </c>
      <c r="E3">
        <f t="shared" ref="E3:E45" si="1">IF(B3=1,1,0)</f>
        <v>0</v>
      </c>
      <c r="F3">
        <f t="shared" ref="F3:F45" si="2">IF(B3=2,1,0)</f>
        <v>1</v>
      </c>
      <c r="G3">
        <f t="shared" ref="G3:G45" si="3">IF(B3=3,1,0)</f>
        <v>0</v>
      </c>
      <c r="H3">
        <v>2</v>
      </c>
      <c r="I3">
        <f t="shared" ref="I3:I45" si="4">H3^2</f>
        <v>4</v>
      </c>
      <c r="J3">
        <f>H3^3</f>
        <v>8</v>
      </c>
    </row>
    <row r="4" spans="1:10" x14ac:dyDescent="0.2">
      <c r="A4" s="2">
        <v>2010</v>
      </c>
      <c r="B4" s="2">
        <v>3</v>
      </c>
      <c r="C4" s="33" t="str">
        <f t="shared" si="0"/>
        <v>2010 - Q3</v>
      </c>
      <c r="D4" s="2">
        <v>7560</v>
      </c>
      <c r="E4">
        <f t="shared" si="1"/>
        <v>0</v>
      </c>
      <c r="F4">
        <f t="shared" si="2"/>
        <v>0</v>
      </c>
      <c r="G4">
        <f t="shared" si="3"/>
        <v>1</v>
      </c>
      <c r="H4">
        <v>3</v>
      </c>
      <c r="I4">
        <f t="shared" si="4"/>
        <v>9</v>
      </c>
      <c r="J4">
        <f t="shared" ref="J4:J45" si="5">H4^3</f>
        <v>27</v>
      </c>
    </row>
    <row r="5" spans="1:10" x14ac:dyDescent="0.2">
      <c r="A5" s="2">
        <v>2010</v>
      </c>
      <c r="B5" s="2">
        <v>4</v>
      </c>
      <c r="C5" s="33" t="str">
        <f t="shared" si="0"/>
        <v>2010 - Q4</v>
      </c>
      <c r="D5" s="2">
        <v>12947</v>
      </c>
      <c r="E5">
        <f t="shared" si="1"/>
        <v>0</v>
      </c>
      <c r="F5">
        <f t="shared" si="2"/>
        <v>0</v>
      </c>
      <c r="G5">
        <f t="shared" si="3"/>
        <v>0</v>
      </c>
      <c r="H5">
        <v>4</v>
      </c>
      <c r="I5">
        <f t="shared" si="4"/>
        <v>16</v>
      </c>
      <c r="J5">
        <f t="shared" si="5"/>
        <v>64</v>
      </c>
    </row>
    <row r="6" spans="1:10" x14ac:dyDescent="0.2">
      <c r="A6" s="2">
        <v>2011</v>
      </c>
      <c r="B6" s="2">
        <v>1</v>
      </c>
      <c r="C6" s="33" t="str">
        <f t="shared" si="0"/>
        <v>2011 - Q1</v>
      </c>
      <c r="D6" s="2">
        <v>9857</v>
      </c>
      <c r="E6">
        <f t="shared" si="1"/>
        <v>1</v>
      </c>
      <c r="F6">
        <f t="shared" si="2"/>
        <v>0</v>
      </c>
      <c r="G6">
        <f t="shared" si="3"/>
        <v>0</v>
      </c>
      <c r="H6">
        <v>5</v>
      </c>
      <c r="I6">
        <f t="shared" si="4"/>
        <v>25</v>
      </c>
      <c r="J6">
        <f t="shared" si="5"/>
        <v>125</v>
      </c>
    </row>
    <row r="7" spans="1:10" x14ac:dyDescent="0.2">
      <c r="A7" s="2">
        <v>2011</v>
      </c>
      <c r="B7" s="2">
        <v>2</v>
      </c>
      <c r="C7" s="33" t="str">
        <f t="shared" si="0"/>
        <v>2011 - Q2</v>
      </c>
      <c r="D7" s="2">
        <v>9913</v>
      </c>
      <c r="E7">
        <f t="shared" si="1"/>
        <v>0</v>
      </c>
      <c r="F7">
        <f t="shared" si="2"/>
        <v>1</v>
      </c>
      <c r="G7">
        <f t="shared" si="3"/>
        <v>0</v>
      </c>
      <c r="H7">
        <v>6</v>
      </c>
      <c r="I7">
        <f t="shared" si="4"/>
        <v>36</v>
      </c>
      <c r="J7">
        <f t="shared" si="5"/>
        <v>216</v>
      </c>
    </row>
    <row r="8" spans="1:10" x14ac:dyDescent="0.2">
      <c r="A8" s="2">
        <v>2011</v>
      </c>
      <c r="B8" s="2">
        <v>3</v>
      </c>
      <c r="C8" s="33" t="str">
        <f t="shared" si="0"/>
        <v>2011 - Q3</v>
      </c>
      <c r="D8" s="2">
        <v>10876</v>
      </c>
      <c r="E8">
        <f t="shared" si="1"/>
        <v>0</v>
      </c>
      <c r="F8">
        <f t="shared" si="2"/>
        <v>0</v>
      </c>
      <c r="G8">
        <f t="shared" si="3"/>
        <v>1</v>
      </c>
      <c r="H8">
        <v>7</v>
      </c>
      <c r="I8">
        <f t="shared" si="4"/>
        <v>49</v>
      </c>
      <c r="J8">
        <f t="shared" si="5"/>
        <v>343</v>
      </c>
    </row>
    <row r="9" spans="1:10" x14ac:dyDescent="0.2">
      <c r="A9" s="2">
        <v>2011</v>
      </c>
      <c r="B9" s="2">
        <v>4</v>
      </c>
      <c r="C9" s="33" t="str">
        <f t="shared" si="0"/>
        <v>2011 - Q4</v>
      </c>
      <c r="D9" s="2">
        <v>17431</v>
      </c>
      <c r="E9">
        <f t="shared" si="1"/>
        <v>0</v>
      </c>
      <c r="F9">
        <f t="shared" si="2"/>
        <v>0</v>
      </c>
      <c r="G9">
        <f t="shared" si="3"/>
        <v>0</v>
      </c>
      <c r="H9">
        <v>8</v>
      </c>
      <c r="I9">
        <f t="shared" si="4"/>
        <v>64</v>
      </c>
      <c r="J9">
        <f t="shared" si="5"/>
        <v>512</v>
      </c>
    </row>
    <row r="10" spans="1:10" x14ac:dyDescent="0.2">
      <c r="A10" s="2">
        <v>2012</v>
      </c>
      <c r="B10" s="2">
        <v>1</v>
      </c>
      <c r="C10" s="33" t="str">
        <f t="shared" si="0"/>
        <v>2012 - Q1</v>
      </c>
      <c r="D10" s="2">
        <v>13185</v>
      </c>
      <c r="E10">
        <f t="shared" si="1"/>
        <v>1</v>
      </c>
      <c r="F10">
        <f t="shared" si="2"/>
        <v>0</v>
      </c>
      <c r="G10">
        <f t="shared" si="3"/>
        <v>0</v>
      </c>
      <c r="H10">
        <v>9</v>
      </c>
      <c r="I10">
        <f t="shared" si="4"/>
        <v>81</v>
      </c>
      <c r="J10">
        <f t="shared" si="5"/>
        <v>729</v>
      </c>
    </row>
    <row r="11" spans="1:10" x14ac:dyDescent="0.2">
      <c r="A11" s="2">
        <v>2012</v>
      </c>
      <c r="B11" s="2">
        <v>2</v>
      </c>
      <c r="C11" s="33" t="str">
        <f t="shared" si="0"/>
        <v>2012 - Q2</v>
      </c>
      <c r="D11" s="2">
        <v>12834</v>
      </c>
      <c r="E11">
        <f t="shared" si="1"/>
        <v>0</v>
      </c>
      <c r="F11">
        <f t="shared" si="2"/>
        <v>1</v>
      </c>
      <c r="G11">
        <f t="shared" si="3"/>
        <v>0</v>
      </c>
      <c r="H11">
        <v>10</v>
      </c>
      <c r="I11">
        <f t="shared" si="4"/>
        <v>100</v>
      </c>
      <c r="J11">
        <f t="shared" si="5"/>
        <v>1000</v>
      </c>
    </row>
    <row r="12" spans="1:10" x14ac:dyDescent="0.2">
      <c r="A12" s="2">
        <v>2012</v>
      </c>
      <c r="B12" s="2">
        <v>3</v>
      </c>
      <c r="C12" s="33" t="str">
        <f t="shared" si="0"/>
        <v>2012 - Q3</v>
      </c>
      <c r="D12" s="2">
        <v>13806</v>
      </c>
      <c r="E12">
        <f t="shared" si="1"/>
        <v>0</v>
      </c>
      <c r="F12">
        <f t="shared" si="2"/>
        <v>0</v>
      </c>
      <c r="G12">
        <f t="shared" si="3"/>
        <v>1</v>
      </c>
      <c r="H12">
        <v>11</v>
      </c>
      <c r="I12">
        <f t="shared" si="4"/>
        <v>121</v>
      </c>
      <c r="J12">
        <f t="shared" si="5"/>
        <v>1331</v>
      </c>
    </row>
    <row r="13" spans="1:10" x14ac:dyDescent="0.2">
      <c r="A13" s="2">
        <v>2012</v>
      </c>
      <c r="B13" s="2">
        <v>4</v>
      </c>
      <c r="C13" s="33" t="str">
        <f t="shared" si="0"/>
        <v>2012 - Q4</v>
      </c>
      <c r="D13" s="2">
        <v>21268</v>
      </c>
      <c r="E13">
        <f t="shared" si="1"/>
        <v>0</v>
      </c>
      <c r="F13">
        <f t="shared" si="2"/>
        <v>0</v>
      </c>
      <c r="G13">
        <f t="shared" si="3"/>
        <v>0</v>
      </c>
      <c r="H13">
        <v>12</v>
      </c>
      <c r="I13">
        <f t="shared" si="4"/>
        <v>144</v>
      </c>
      <c r="J13">
        <f t="shared" si="5"/>
        <v>1728</v>
      </c>
    </row>
    <row r="14" spans="1:10" x14ac:dyDescent="0.2">
      <c r="A14" s="2">
        <v>2013</v>
      </c>
      <c r="B14" s="2">
        <v>1</v>
      </c>
      <c r="C14" s="33" t="str">
        <f t="shared" si="0"/>
        <v>2013 - Q1</v>
      </c>
      <c r="D14" s="2">
        <v>16070</v>
      </c>
      <c r="E14">
        <f t="shared" si="1"/>
        <v>1</v>
      </c>
      <c r="F14">
        <f t="shared" si="2"/>
        <v>0</v>
      </c>
      <c r="G14">
        <f t="shared" si="3"/>
        <v>0</v>
      </c>
      <c r="H14">
        <v>13</v>
      </c>
      <c r="I14">
        <f t="shared" si="4"/>
        <v>169</v>
      </c>
      <c r="J14">
        <f t="shared" si="5"/>
        <v>2197</v>
      </c>
    </row>
    <row r="15" spans="1:10" x14ac:dyDescent="0.2">
      <c r="A15" s="2">
        <v>2013</v>
      </c>
      <c r="B15" s="2">
        <v>2</v>
      </c>
      <c r="C15" s="33" t="str">
        <f t="shared" si="0"/>
        <v>2013 - Q2</v>
      </c>
      <c r="D15" s="2">
        <v>15704</v>
      </c>
      <c r="E15">
        <f t="shared" si="1"/>
        <v>0</v>
      </c>
      <c r="F15">
        <f t="shared" si="2"/>
        <v>1</v>
      </c>
      <c r="G15">
        <f t="shared" si="3"/>
        <v>0</v>
      </c>
      <c r="H15">
        <v>14</v>
      </c>
      <c r="I15">
        <f t="shared" si="4"/>
        <v>196</v>
      </c>
      <c r="J15">
        <f t="shared" si="5"/>
        <v>2744</v>
      </c>
    </row>
    <row r="16" spans="1:10" x14ac:dyDescent="0.2">
      <c r="A16" s="2">
        <v>2013</v>
      </c>
      <c r="B16" s="2">
        <v>3</v>
      </c>
      <c r="C16" s="33" t="str">
        <f t="shared" si="0"/>
        <v>2013 - Q3</v>
      </c>
      <c r="D16" s="2">
        <v>17091</v>
      </c>
      <c r="E16">
        <f t="shared" si="1"/>
        <v>0</v>
      </c>
      <c r="F16">
        <f t="shared" si="2"/>
        <v>0</v>
      </c>
      <c r="G16">
        <f t="shared" si="3"/>
        <v>1</v>
      </c>
      <c r="H16">
        <v>15</v>
      </c>
      <c r="I16">
        <f t="shared" si="4"/>
        <v>225</v>
      </c>
      <c r="J16">
        <f t="shared" si="5"/>
        <v>3375</v>
      </c>
    </row>
    <row r="17" spans="1:10" x14ac:dyDescent="0.2">
      <c r="A17" s="2">
        <v>2013</v>
      </c>
      <c r="B17" s="2">
        <v>4</v>
      </c>
      <c r="C17" s="33" t="str">
        <f t="shared" si="0"/>
        <v>2013 - Q4</v>
      </c>
      <c r="D17" s="2">
        <v>25587</v>
      </c>
      <c r="E17">
        <f t="shared" si="1"/>
        <v>0</v>
      </c>
      <c r="F17">
        <f t="shared" si="2"/>
        <v>0</v>
      </c>
      <c r="G17">
        <f t="shared" si="3"/>
        <v>0</v>
      </c>
      <c r="H17">
        <v>16</v>
      </c>
      <c r="I17">
        <f t="shared" si="4"/>
        <v>256</v>
      </c>
      <c r="J17">
        <f t="shared" si="5"/>
        <v>4096</v>
      </c>
    </row>
    <row r="18" spans="1:10" x14ac:dyDescent="0.2">
      <c r="A18" s="2">
        <v>2014</v>
      </c>
      <c r="B18" s="2">
        <v>1</v>
      </c>
      <c r="C18" s="33" t="str">
        <f t="shared" si="0"/>
        <v>2014 - Q1</v>
      </c>
      <c r="D18" s="2">
        <v>19741</v>
      </c>
      <c r="E18">
        <f t="shared" si="1"/>
        <v>1</v>
      </c>
      <c r="F18">
        <f t="shared" si="2"/>
        <v>0</v>
      </c>
      <c r="G18">
        <f t="shared" si="3"/>
        <v>0</v>
      </c>
      <c r="H18">
        <v>17</v>
      </c>
      <c r="I18">
        <f t="shared" si="4"/>
        <v>289</v>
      </c>
      <c r="J18">
        <f t="shared" si="5"/>
        <v>4913</v>
      </c>
    </row>
    <row r="19" spans="1:10" x14ac:dyDescent="0.2">
      <c r="A19" s="2">
        <v>2014</v>
      </c>
      <c r="B19" s="2">
        <v>2</v>
      </c>
      <c r="C19" s="33" t="str">
        <f t="shared" si="0"/>
        <v>2014 - Q2</v>
      </c>
      <c r="D19" s="2">
        <v>19340</v>
      </c>
      <c r="E19">
        <f t="shared" si="1"/>
        <v>0</v>
      </c>
      <c r="F19">
        <f t="shared" si="2"/>
        <v>1</v>
      </c>
      <c r="G19">
        <f t="shared" si="3"/>
        <v>0</v>
      </c>
      <c r="H19">
        <v>18</v>
      </c>
      <c r="I19">
        <f t="shared" si="4"/>
        <v>324</v>
      </c>
      <c r="J19">
        <f t="shared" si="5"/>
        <v>5832</v>
      </c>
    </row>
    <row r="20" spans="1:10" x14ac:dyDescent="0.2">
      <c r="A20" s="2">
        <v>2014</v>
      </c>
      <c r="B20" s="2">
        <v>3</v>
      </c>
      <c r="C20" s="33" t="str">
        <f t="shared" si="0"/>
        <v>2014 - Q3</v>
      </c>
      <c r="D20" s="2">
        <v>20578</v>
      </c>
      <c r="E20">
        <f t="shared" si="1"/>
        <v>0</v>
      </c>
      <c r="F20">
        <f t="shared" si="2"/>
        <v>0</v>
      </c>
      <c r="G20">
        <f t="shared" si="3"/>
        <v>1</v>
      </c>
      <c r="H20">
        <v>19</v>
      </c>
      <c r="I20">
        <f t="shared" si="4"/>
        <v>361</v>
      </c>
      <c r="J20">
        <f t="shared" si="5"/>
        <v>6859</v>
      </c>
    </row>
    <row r="21" spans="1:10" x14ac:dyDescent="0.2">
      <c r="A21" s="2">
        <v>2014</v>
      </c>
      <c r="B21" s="2">
        <v>4</v>
      </c>
      <c r="C21" s="33" t="str">
        <f t="shared" si="0"/>
        <v>2014 - Q4</v>
      </c>
      <c r="D21" s="2">
        <v>29329</v>
      </c>
      <c r="E21">
        <f t="shared" si="1"/>
        <v>0</v>
      </c>
      <c r="F21">
        <f t="shared" si="2"/>
        <v>0</v>
      </c>
      <c r="G21">
        <f t="shared" si="3"/>
        <v>0</v>
      </c>
      <c r="H21">
        <v>20</v>
      </c>
      <c r="I21">
        <f t="shared" si="4"/>
        <v>400</v>
      </c>
      <c r="J21">
        <f t="shared" si="5"/>
        <v>8000</v>
      </c>
    </row>
    <row r="22" spans="1:10" x14ac:dyDescent="0.2">
      <c r="A22" s="2">
        <v>2015</v>
      </c>
      <c r="B22" s="2">
        <v>1</v>
      </c>
      <c r="C22" s="33" t="str">
        <f t="shared" si="0"/>
        <v>2015 - Q1</v>
      </c>
      <c r="D22" s="2">
        <v>22717</v>
      </c>
      <c r="E22">
        <f t="shared" si="1"/>
        <v>1</v>
      </c>
      <c r="F22">
        <f t="shared" si="2"/>
        <v>0</v>
      </c>
      <c r="G22">
        <f t="shared" si="3"/>
        <v>0</v>
      </c>
      <c r="H22">
        <v>21</v>
      </c>
      <c r="I22">
        <f t="shared" si="4"/>
        <v>441</v>
      </c>
      <c r="J22">
        <f t="shared" si="5"/>
        <v>9261</v>
      </c>
    </row>
    <row r="23" spans="1:10" x14ac:dyDescent="0.2">
      <c r="A23" s="2">
        <v>2015</v>
      </c>
      <c r="B23" s="2">
        <v>2</v>
      </c>
      <c r="C23" s="33" t="str">
        <f t="shared" si="0"/>
        <v>2015 - Q2</v>
      </c>
      <c r="D23" s="2">
        <v>23184</v>
      </c>
      <c r="E23">
        <f t="shared" si="1"/>
        <v>0</v>
      </c>
      <c r="F23">
        <f t="shared" si="2"/>
        <v>1</v>
      </c>
      <c r="G23">
        <f t="shared" si="3"/>
        <v>0</v>
      </c>
      <c r="H23">
        <v>22</v>
      </c>
      <c r="I23">
        <f t="shared" si="4"/>
        <v>484</v>
      </c>
      <c r="J23">
        <f t="shared" si="5"/>
        <v>10648</v>
      </c>
    </row>
    <row r="24" spans="1:10" x14ac:dyDescent="0.2">
      <c r="A24" s="2">
        <v>2015</v>
      </c>
      <c r="B24" s="2">
        <v>3</v>
      </c>
      <c r="C24" s="33" t="str">
        <f t="shared" si="0"/>
        <v>2015 - Q3</v>
      </c>
      <c r="D24" s="2">
        <v>25358</v>
      </c>
      <c r="E24">
        <f t="shared" si="1"/>
        <v>0</v>
      </c>
      <c r="F24">
        <f t="shared" si="2"/>
        <v>0</v>
      </c>
      <c r="G24">
        <f t="shared" si="3"/>
        <v>1</v>
      </c>
      <c r="H24">
        <v>23</v>
      </c>
      <c r="I24">
        <f t="shared" si="4"/>
        <v>529</v>
      </c>
      <c r="J24">
        <f t="shared" si="5"/>
        <v>12167</v>
      </c>
    </row>
    <row r="25" spans="1:10" x14ac:dyDescent="0.2">
      <c r="A25" s="2">
        <v>2015</v>
      </c>
      <c r="B25" s="2">
        <v>4</v>
      </c>
      <c r="C25" s="33" t="str">
        <f t="shared" si="0"/>
        <v>2015 - Q4</v>
      </c>
      <c r="D25" s="2">
        <v>35747</v>
      </c>
      <c r="E25">
        <f t="shared" si="1"/>
        <v>0</v>
      </c>
      <c r="F25">
        <f t="shared" si="2"/>
        <v>0</v>
      </c>
      <c r="G25">
        <f t="shared" si="3"/>
        <v>0</v>
      </c>
      <c r="H25">
        <v>24</v>
      </c>
      <c r="I25">
        <f t="shared" si="4"/>
        <v>576</v>
      </c>
      <c r="J25">
        <f t="shared" si="5"/>
        <v>13824</v>
      </c>
    </row>
    <row r="26" spans="1:10" x14ac:dyDescent="0.2">
      <c r="A26" s="2">
        <v>2016</v>
      </c>
      <c r="B26" s="2">
        <v>1</v>
      </c>
      <c r="C26" s="33" t="str">
        <f t="shared" si="0"/>
        <v>2016 - Q1</v>
      </c>
      <c r="D26" s="2">
        <v>29128</v>
      </c>
      <c r="E26">
        <f t="shared" si="1"/>
        <v>1</v>
      </c>
      <c r="F26">
        <f t="shared" si="2"/>
        <v>0</v>
      </c>
      <c r="G26">
        <f t="shared" si="3"/>
        <v>0</v>
      </c>
      <c r="H26">
        <v>25</v>
      </c>
      <c r="I26">
        <f t="shared" si="4"/>
        <v>625</v>
      </c>
      <c r="J26">
        <f t="shared" si="5"/>
        <v>15625</v>
      </c>
    </row>
    <row r="27" spans="1:10" x14ac:dyDescent="0.2">
      <c r="A27" s="2">
        <v>2016</v>
      </c>
      <c r="B27" s="2">
        <v>2</v>
      </c>
      <c r="C27" s="33" t="str">
        <f t="shared" si="0"/>
        <v>2016 - Q2</v>
      </c>
      <c r="D27" s="2">
        <v>30404</v>
      </c>
      <c r="E27">
        <f t="shared" si="1"/>
        <v>0</v>
      </c>
      <c r="F27">
        <f t="shared" si="2"/>
        <v>1</v>
      </c>
      <c r="G27">
        <f t="shared" si="3"/>
        <v>0</v>
      </c>
      <c r="H27">
        <v>26</v>
      </c>
      <c r="I27">
        <f t="shared" si="4"/>
        <v>676</v>
      </c>
      <c r="J27">
        <f t="shared" si="5"/>
        <v>17576</v>
      </c>
    </row>
    <row r="28" spans="1:10" x14ac:dyDescent="0.2">
      <c r="A28" s="2">
        <v>2016</v>
      </c>
      <c r="B28" s="2">
        <v>3</v>
      </c>
      <c r="C28" s="33" t="str">
        <f t="shared" si="0"/>
        <v>2016 - Q3</v>
      </c>
      <c r="D28" s="2">
        <v>32714</v>
      </c>
      <c r="E28">
        <f t="shared" si="1"/>
        <v>0</v>
      </c>
      <c r="F28">
        <f t="shared" si="2"/>
        <v>0</v>
      </c>
      <c r="G28">
        <f t="shared" si="3"/>
        <v>1</v>
      </c>
      <c r="H28">
        <v>27</v>
      </c>
      <c r="I28">
        <f t="shared" si="4"/>
        <v>729</v>
      </c>
      <c r="J28">
        <f t="shared" si="5"/>
        <v>19683</v>
      </c>
    </row>
    <row r="29" spans="1:10" x14ac:dyDescent="0.2">
      <c r="A29" s="2">
        <v>2016</v>
      </c>
      <c r="B29" s="2">
        <v>4</v>
      </c>
      <c r="C29" s="33" t="str">
        <f t="shared" si="0"/>
        <v>2016 - Q4</v>
      </c>
      <c r="D29" s="2">
        <v>43741</v>
      </c>
      <c r="E29">
        <f t="shared" si="1"/>
        <v>0</v>
      </c>
      <c r="F29">
        <f t="shared" si="2"/>
        <v>0</v>
      </c>
      <c r="G29">
        <f t="shared" si="3"/>
        <v>0</v>
      </c>
      <c r="H29">
        <v>28</v>
      </c>
      <c r="I29">
        <f t="shared" si="4"/>
        <v>784</v>
      </c>
      <c r="J29">
        <f t="shared" si="5"/>
        <v>21952</v>
      </c>
    </row>
    <row r="30" spans="1:10" x14ac:dyDescent="0.2">
      <c r="A30" s="2">
        <v>2017</v>
      </c>
      <c r="B30" s="2">
        <v>1</v>
      </c>
      <c r="C30" s="33" t="str">
        <f t="shared" si="0"/>
        <v>2017 - Q1</v>
      </c>
      <c r="D30" s="2">
        <v>35714</v>
      </c>
      <c r="E30">
        <f t="shared" si="1"/>
        <v>1</v>
      </c>
      <c r="F30">
        <f t="shared" si="2"/>
        <v>0</v>
      </c>
      <c r="G30">
        <f t="shared" si="3"/>
        <v>0</v>
      </c>
      <c r="H30">
        <v>29</v>
      </c>
      <c r="I30">
        <f t="shared" si="4"/>
        <v>841</v>
      </c>
      <c r="J30">
        <f t="shared" si="5"/>
        <v>24389</v>
      </c>
    </row>
    <row r="31" spans="1:10" x14ac:dyDescent="0.2">
      <c r="A31" s="2">
        <v>2017</v>
      </c>
      <c r="B31" s="2">
        <v>2</v>
      </c>
      <c r="C31" s="33" t="str">
        <f t="shared" si="0"/>
        <v>2017 - Q2</v>
      </c>
      <c r="D31" s="2">
        <v>37955</v>
      </c>
      <c r="E31">
        <f t="shared" si="1"/>
        <v>0</v>
      </c>
      <c r="F31">
        <f t="shared" si="2"/>
        <v>1</v>
      </c>
      <c r="G31">
        <f t="shared" si="3"/>
        <v>0</v>
      </c>
      <c r="H31">
        <v>30</v>
      </c>
      <c r="I31">
        <f t="shared" si="4"/>
        <v>900</v>
      </c>
      <c r="J31">
        <f t="shared" si="5"/>
        <v>27000</v>
      </c>
    </row>
    <row r="32" spans="1:10" x14ac:dyDescent="0.2">
      <c r="A32" s="2">
        <v>2017</v>
      </c>
      <c r="B32" s="2">
        <v>3</v>
      </c>
      <c r="C32" s="33" t="str">
        <f t="shared" si="0"/>
        <v>2017 - Q3</v>
      </c>
      <c r="D32" s="2">
        <v>43744</v>
      </c>
      <c r="E32">
        <f t="shared" si="1"/>
        <v>0</v>
      </c>
      <c r="F32">
        <f t="shared" si="2"/>
        <v>0</v>
      </c>
      <c r="G32">
        <f t="shared" si="3"/>
        <v>1</v>
      </c>
      <c r="H32">
        <v>31</v>
      </c>
      <c r="I32">
        <f t="shared" si="4"/>
        <v>961</v>
      </c>
      <c r="J32">
        <f t="shared" si="5"/>
        <v>29791</v>
      </c>
    </row>
    <row r="33" spans="1:10" x14ac:dyDescent="0.2">
      <c r="A33" s="2">
        <v>2017</v>
      </c>
      <c r="B33" s="2">
        <v>4</v>
      </c>
      <c r="C33" s="33" t="str">
        <f t="shared" si="0"/>
        <v>2017 - Q4</v>
      </c>
      <c r="D33" s="2">
        <v>60453</v>
      </c>
      <c r="E33">
        <f t="shared" si="1"/>
        <v>0</v>
      </c>
      <c r="F33">
        <f t="shared" si="2"/>
        <v>0</v>
      </c>
      <c r="G33">
        <f t="shared" si="3"/>
        <v>0</v>
      </c>
      <c r="H33">
        <v>32</v>
      </c>
      <c r="I33">
        <f t="shared" si="4"/>
        <v>1024</v>
      </c>
      <c r="J33">
        <f t="shared" si="5"/>
        <v>32768</v>
      </c>
    </row>
    <row r="34" spans="1:10" x14ac:dyDescent="0.2">
      <c r="A34" s="2">
        <v>2018</v>
      </c>
      <c r="B34" s="2">
        <v>1</v>
      </c>
      <c r="C34" s="33" t="str">
        <f t="shared" si="0"/>
        <v>2018 - Q1</v>
      </c>
      <c r="D34" s="2">
        <v>51042</v>
      </c>
      <c r="E34">
        <f t="shared" si="1"/>
        <v>1</v>
      </c>
      <c r="F34">
        <f t="shared" si="2"/>
        <v>0</v>
      </c>
      <c r="G34">
        <f t="shared" si="3"/>
        <v>0</v>
      </c>
      <c r="H34">
        <v>33</v>
      </c>
      <c r="I34">
        <f t="shared" si="4"/>
        <v>1089</v>
      </c>
      <c r="J34">
        <f t="shared" si="5"/>
        <v>35937</v>
      </c>
    </row>
    <row r="35" spans="1:10" x14ac:dyDescent="0.2">
      <c r="A35" s="2">
        <v>2018</v>
      </c>
      <c r="B35" s="2">
        <v>2</v>
      </c>
      <c r="C35" s="33" t="str">
        <f t="shared" si="0"/>
        <v>2018 - Q2</v>
      </c>
      <c r="D35" s="2">
        <v>52886</v>
      </c>
      <c r="E35">
        <f t="shared" si="1"/>
        <v>0</v>
      </c>
      <c r="F35">
        <f t="shared" si="2"/>
        <v>1</v>
      </c>
      <c r="G35">
        <f t="shared" si="3"/>
        <v>0</v>
      </c>
      <c r="H35">
        <v>34</v>
      </c>
      <c r="I35">
        <f t="shared" si="4"/>
        <v>1156</v>
      </c>
      <c r="J35">
        <f t="shared" si="5"/>
        <v>39304</v>
      </c>
    </row>
    <row r="36" spans="1:10" x14ac:dyDescent="0.2">
      <c r="A36" s="2">
        <v>2018</v>
      </c>
      <c r="B36" s="2">
        <v>3</v>
      </c>
      <c r="C36" s="33" t="str">
        <f t="shared" si="0"/>
        <v>2018 - Q3</v>
      </c>
      <c r="D36" s="2">
        <v>56576</v>
      </c>
      <c r="E36">
        <f t="shared" si="1"/>
        <v>0</v>
      </c>
      <c r="F36">
        <f t="shared" si="2"/>
        <v>0</v>
      </c>
      <c r="G36">
        <f t="shared" si="3"/>
        <v>1</v>
      </c>
      <c r="H36">
        <v>35</v>
      </c>
      <c r="I36">
        <f t="shared" si="4"/>
        <v>1225</v>
      </c>
      <c r="J36">
        <f t="shared" si="5"/>
        <v>42875</v>
      </c>
    </row>
    <row r="37" spans="1:10" x14ac:dyDescent="0.2">
      <c r="A37" s="2">
        <v>2018</v>
      </c>
      <c r="B37" s="2">
        <v>4</v>
      </c>
      <c r="C37" s="33" t="str">
        <f t="shared" si="0"/>
        <v>2018 - Q4</v>
      </c>
      <c r="D37" s="3">
        <v>72383</v>
      </c>
      <c r="E37">
        <f t="shared" si="1"/>
        <v>0</v>
      </c>
      <c r="F37">
        <f t="shared" si="2"/>
        <v>0</v>
      </c>
      <c r="G37">
        <f t="shared" si="3"/>
        <v>0</v>
      </c>
      <c r="H37">
        <v>36</v>
      </c>
      <c r="I37">
        <f t="shared" si="4"/>
        <v>1296</v>
      </c>
      <c r="J37">
        <f t="shared" si="5"/>
        <v>46656</v>
      </c>
    </row>
    <row r="38" spans="1:10" x14ac:dyDescent="0.2">
      <c r="A38" s="1" t="s">
        <v>3</v>
      </c>
      <c r="B38" s="2">
        <v>1</v>
      </c>
      <c r="C38" s="33" t="str">
        <f t="shared" si="0"/>
        <v>2019 - Q1</v>
      </c>
      <c r="D38" s="2">
        <v>59700</v>
      </c>
      <c r="E38">
        <f t="shared" si="1"/>
        <v>1</v>
      </c>
      <c r="F38">
        <f t="shared" si="2"/>
        <v>0</v>
      </c>
      <c r="G38">
        <f t="shared" si="3"/>
        <v>0</v>
      </c>
      <c r="H38">
        <v>37</v>
      </c>
      <c r="I38">
        <f t="shared" si="4"/>
        <v>1369</v>
      </c>
      <c r="J38">
        <f t="shared" si="5"/>
        <v>50653</v>
      </c>
    </row>
    <row r="39" spans="1:10" x14ac:dyDescent="0.2">
      <c r="A39" s="1" t="s">
        <v>3</v>
      </c>
      <c r="B39" s="2">
        <v>2</v>
      </c>
      <c r="C39" s="33" t="str">
        <f t="shared" si="0"/>
        <v>2019 - Q2</v>
      </c>
      <c r="D39" s="2">
        <v>63404</v>
      </c>
      <c r="E39">
        <f t="shared" si="1"/>
        <v>0</v>
      </c>
      <c r="F39">
        <f t="shared" si="2"/>
        <v>1</v>
      </c>
      <c r="G39">
        <f t="shared" si="3"/>
        <v>0</v>
      </c>
      <c r="H39">
        <v>38</v>
      </c>
      <c r="I39">
        <f t="shared" si="4"/>
        <v>1444</v>
      </c>
      <c r="J39">
        <f t="shared" si="5"/>
        <v>54872</v>
      </c>
    </row>
    <row r="40" spans="1:10" x14ac:dyDescent="0.2">
      <c r="A40" s="1" t="s">
        <v>3</v>
      </c>
      <c r="B40" s="2">
        <v>3</v>
      </c>
      <c r="C40" s="33" t="str">
        <f t="shared" si="0"/>
        <v>2019 - Q3</v>
      </c>
      <c r="D40" s="2">
        <v>69982</v>
      </c>
      <c r="E40">
        <f t="shared" si="1"/>
        <v>0</v>
      </c>
      <c r="F40">
        <f t="shared" si="2"/>
        <v>0</v>
      </c>
      <c r="G40">
        <f t="shared" si="3"/>
        <v>1</v>
      </c>
      <c r="H40">
        <v>39</v>
      </c>
      <c r="I40">
        <f t="shared" si="4"/>
        <v>1521</v>
      </c>
      <c r="J40">
        <f t="shared" si="5"/>
        <v>59319</v>
      </c>
    </row>
    <row r="41" spans="1:10" x14ac:dyDescent="0.2">
      <c r="A41" s="2">
        <v>2019</v>
      </c>
      <c r="B41" s="2">
        <v>4</v>
      </c>
      <c r="C41" s="33" t="str">
        <f t="shared" si="0"/>
        <v>2019 - Q4</v>
      </c>
      <c r="D41" s="2">
        <v>87436</v>
      </c>
      <c r="E41">
        <f t="shared" si="1"/>
        <v>0</v>
      </c>
      <c r="F41">
        <f t="shared" si="2"/>
        <v>0</v>
      </c>
      <c r="G41">
        <f t="shared" si="3"/>
        <v>0</v>
      </c>
      <c r="H41">
        <v>40</v>
      </c>
      <c r="I41">
        <f t="shared" si="4"/>
        <v>1600</v>
      </c>
      <c r="J41">
        <f t="shared" si="5"/>
        <v>64000</v>
      </c>
    </row>
    <row r="42" spans="1:10" x14ac:dyDescent="0.2">
      <c r="A42" s="2">
        <v>2020</v>
      </c>
      <c r="B42" s="2">
        <v>1</v>
      </c>
      <c r="C42" s="33" t="str">
        <f t="shared" si="0"/>
        <v>2020 - Q1</v>
      </c>
      <c r="D42" s="2">
        <v>75452</v>
      </c>
      <c r="E42">
        <f t="shared" si="1"/>
        <v>1</v>
      </c>
      <c r="F42">
        <f t="shared" si="2"/>
        <v>0</v>
      </c>
      <c r="G42">
        <f t="shared" si="3"/>
        <v>0</v>
      </c>
      <c r="H42">
        <v>41</v>
      </c>
      <c r="I42">
        <f t="shared" si="4"/>
        <v>1681</v>
      </c>
      <c r="J42">
        <f t="shared" si="5"/>
        <v>68921</v>
      </c>
    </row>
    <row r="43" spans="1:10" x14ac:dyDescent="0.2">
      <c r="A43" s="2">
        <v>2020</v>
      </c>
      <c r="B43" s="2">
        <v>2</v>
      </c>
      <c r="C43" s="33" t="str">
        <f t="shared" si="0"/>
        <v>2020 - Q2</v>
      </c>
      <c r="D43" s="2">
        <v>88912</v>
      </c>
      <c r="E43">
        <f t="shared" si="1"/>
        <v>0</v>
      </c>
      <c r="F43">
        <f t="shared" si="2"/>
        <v>1</v>
      </c>
      <c r="G43">
        <f t="shared" si="3"/>
        <v>0</v>
      </c>
      <c r="H43">
        <v>42</v>
      </c>
      <c r="I43">
        <f t="shared" si="4"/>
        <v>1764</v>
      </c>
      <c r="J43">
        <f t="shared" si="5"/>
        <v>74088</v>
      </c>
    </row>
    <row r="44" spans="1:10" x14ac:dyDescent="0.2">
      <c r="A44" s="2">
        <v>2020</v>
      </c>
      <c r="B44" s="2">
        <v>3</v>
      </c>
      <c r="C44" s="33" t="str">
        <f t="shared" si="0"/>
        <v>2020 - Q3</v>
      </c>
      <c r="D44" s="2">
        <v>96145</v>
      </c>
      <c r="E44">
        <f t="shared" si="1"/>
        <v>0</v>
      </c>
      <c r="F44">
        <f t="shared" si="2"/>
        <v>0</v>
      </c>
      <c r="G44">
        <f t="shared" si="3"/>
        <v>1</v>
      </c>
      <c r="H44">
        <v>43</v>
      </c>
      <c r="I44">
        <f t="shared" si="4"/>
        <v>1849</v>
      </c>
      <c r="J44">
        <f t="shared" si="5"/>
        <v>79507</v>
      </c>
    </row>
    <row r="45" spans="1:10" x14ac:dyDescent="0.2">
      <c r="A45" s="2">
        <v>2020</v>
      </c>
      <c r="B45" s="2">
        <v>4</v>
      </c>
      <c r="C45" s="33" t="str">
        <f t="shared" si="0"/>
        <v>2020 - Q4</v>
      </c>
      <c r="D45" s="2">
        <v>125555</v>
      </c>
      <c r="E45">
        <f t="shared" si="1"/>
        <v>0</v>
      </c>
      <c r="F45">
        <f t="shared" si="2"/>
        <v>0</v>
      </c>
      <c r="G45">
        <f t="shared" si="3"/>
        <v>0</v>
      </c>
      <c r="H45">
        <v>44</v>
      </c>
      <c r="I45">
        <f t="shared" si="4"/>
        <v>1936</v>
      </c>
      <c r="J45">
        <f t="shared" si="5"/>
        <v>85184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A316-CAB8-C547-AB42-3698428CF1E9}">
  <dimension ref="A1:AY49"/>
  <sheetViews>
    <sheetView topLeftCell="E19" zoomScale="120" zoomScaleNormal="120" workbookViewId="0">
      <selection activeCell="N24" sqref="N24"/>
    </sheetView>
  </sheetViews>
  <sheetFormatPr baseColWidth="10" defaultRowHeight="15" x14ac:dyDescent="0.2"/>
  <cols>
    <col min="13" max="13" width="16" bestFit="1" customWidth="1"/>
    <col min="14" max="14" width="13.1640625" bestFit="1" customWidth="1"/>
    <col min="15" max="15" width="14.83203125" bestFit="1" customWidth="1"/>
    <col min="16" max="16" width="13.6640625" bestFit="1" customWidth="1"/>
    <col min="23" max="23" width="13.5" customWidth="1"/>
    <col min="24" max="24" width="12.6640625" bestFit="1" customWidth="1"/>
    <col min="26" max="26" width="12.6640625" bestFit="1" customWidth="1"/>
    <col min="33" max="33" width="16" bestFit="1" customWidth="1"/>
    <col min="34" max="34" width="12.6640625" bestFit="1" customWidth="1"/>
    <col min="35" max="35" width="14.83203125" bestFit="1" customWidth="1"/>
    <col min="36" max="36" width="12.6640625" bestFit="1" customWidth="1"/>
    <col min="43" max="43" width="16.33203125" bestFit="1" customWidth="1"/>
    <col min="46" max="46" width="12.6640625" bestFit="1" customWidth="1"/>
  </cols>
  <sheetData>
    <row r="1" spans="1:51" ht="24" x14ac:dyDescent="0.3">
      <c r="A1" s="51" t="s">
        <v>83</v>
      </c>
      <c r="M1" s="12" t="s">
        <v>34</v>
      </c>
      <c r="N1" s="12"/>
      <c r="O1" s="12"/>
      <c r="P1" s="12"/>
      <c r="Q1" s="12"/>
      <c r="R1" s="12"/>
      <c r="S1" s="12"/>
      <c r="T1" s="12"/>
      <c r="U1" s="12"/>
      <c r="V1" s="11"/>
      <c r="W1" s="12" t="s">
        <v>44</v>
      </c>
      <c r="X1" s="12"/>
      <c r="Y1" s="12"/>
      <c r="Z1" s="12"/>
      <c r="AA1" s="12"/>
      <c r="AB1" s="12"/>
      <c r="AC1" s="12"/>
      <c r="AD1" s="12"/>
      <c r="AE1" s="12"/>
      <c r="AF1" s="11"/>
      <c r="AG1" s="12" t="s">
        <v>35</v>
      </c>
      <c r="AH1" s="12"/>
      <c r="AI1" s="12"/>
      <c r="AJ1" s="12"/>
      <c r="AK1" s="12"/>
      <c r="AL1" s="12"/>
      <c r="AM1" s="12"/>
      <c r="AN1" s="12"/>
      <c r="AO1" s="12"/>
      <c r="AQ1" s="12" t="s">
        <v>36</v>
      </c>
      <c r="AR1" s="12"/>
      <c r="AS1" s="12"/>
      <c r="AT1" s="12"/>
      <c r="AU1" s="12"/>
      <c r="AV1" s="12"/>
      <c r="AW1" s="12"/>
      <c r="AX1" s="12"/>
      <c r="AY1" s="12"/>
    </row>
    <row r="2" spans="1:51" x14ac:dyDescent="0.2">
      <c r="A2" s="4" t="s">
        <v>0</v>
      </c>
      <c r="B2" s="4" t="s">
        <v>1</v>
      </c>
      <c r="C2" s="4" t="s">
        <v>51</v>
      </c>
      <c r="D2" s="5" t="s">
        <v>2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32</v>
      </c>
      <c r="J2" s="6" t="s">
        <v>33</v>
      </c>
      <c r="K2" s="6" t="s">
        <v>43</v>
      </c>
      <c r="M2" t="s">
        <v>8</v>
      </c>
      <c r="W2" t="s">
        <v>8</v>
      </c>
      <c r="AG2" t="s">
        <v>8</v>
      </c>
      <c r="AQ2" t="s">
        <v>8</v>
      </c>
    </row>
    <row r="3" spans="1:51" ht="16" thickBot="1" x14ac:dyDescent="0.25">
      <c r="A3" s="2">
        <v>2010</v>
      </c>
      <c r="B3" s="2">
        <v>1</v>
      </c>
      <c r="C3" s="2" t="str">
        <f>_xlfn.CONCAT(A3, " - Q", B3)</f>
        <v>2010 - Q1</v>
      </c>
      <c r="D3" s="2">
        <v>7131</v>
      </c>
      <c r="E3">
        <f>IF(B3=1,1,0)</f>
        <v>1</v>
      </c>
      <c r="F3">
        <f>IF(B3=2,1,0)</f>
        <v>0</v>
      </c>
      <c r="G3">
        <f>IF(B3=3,1,0)</f>
        <v>0</v>
      </c>
      <c r="H3">
        <v>1</v>
      </c>
      <c r="I3">
        <f>H3^2</f>
        <v>1</v>
      </c>
      <c r="J3">
        <f>H3^3</f>
        <v>1</v>
      </c>
      <c r="K3">
        <f>LN(D3)</f>
        <v>8.8722067560283033</v>
      </c>
    </row>
    <row r="4" spans="1:51" x14ac:dyDescent="0.2">
      <c r="A4" s="2">
        <v>2010</v>
      </c>
      <c r="B4" s="2">
        <v>2</v>
      </c>
      <c r="C4" s="2" t="str">
        <f t="shared" ref="C4:C38" si="0">_xlfn.CONCAT(A4, " - Q", B4)</f>
        <v>2010 - Q2</v>
      </c>
      <c r="D4" s="2">
        <v>6566</v>
      </c>
      <c r="E4">
        <f t="shared" ref="E4:E38" si="1">IF(B4=1,1,0)</f>
        <v>0</v>
      </c>
      <c r="F4">
        <f t="shared" ref="F4:F38" si="2">IF(B4=2,1,0)</f>
        <v>1</v>
      </c>
      <c r="G4">
        <f t="shared" ref="G4:G38" si="3">IF(B4=3,1,0)</f>
        <v>0</v>
      </c>
      <c r="H4">
        <v>2</v>
      </c>
      <c r="I4">
        <f t="shared" ref="I4:I38" si="4">H4^2</f>
        <v>4</v>
      </c>
      <c r="J4">
        <f>H4^3</f>
        <v>8</v>
      </c>
      <c r="K4">
        <f t="shared" ref="K4:K38" si="5">LN(D4)</f>
        <v>8.7896600980615371</v>
      </c>
      <c r="M4" s="10" t="s">
        <v>9</v>
      </c>
      <c r="N4" s="10"/>
      <c r="W4" s="10" t="s">
        <v>9</v>
      </c>
      <c r="X4" s="10"/>
      <c r="AG4" s="10" t="s">
        <v>9</v>
      </c>
      <c r="AH4" s="10"/>
      <c r="AQ4" s="10" t="s">
        <v>9</v>
      </c>
      <c r="AR4" s="10"/>
    </row>
    <row r="5" spans="1:51" x14ac:dyDescent="0.2">
      <c r="A5" s="2">
        <v>2010</v>
      </c>
      <c r="B5" s="2">
        <v>3</v>
      </c>
      <c r="C5" s="2" t="str">
        <f t="shared" si="0"/>
        <v>2010 - Q3</v>
      </c>
      <c r="D5" s="2">
        <v>7560</v>
      </c>
      <c r="E5">
        <f t="shared" si="1"/>
        <v>0</v>
      </c>
      <c r="F5">
        <f t="shared" si="2"/>
        <v>0</v>
      </c>
      <c r="G5">
        <f t="shared" si="3"/>
        <v>1</v>
      </c>
      <c r="H5">
        <v>3</v>
      </c>
      <c r="I5">
        <f t="shared" si="4"/>
        <v>9</v>
      </c>
      <c r="J5">
        <f t="shared" ref="J5:J38" si="6">H5^3</f>
        <v>27</v>
      </c>
      <c r="K5">
        <f t="shared" si="5"/>
        <v>8.9306264691735784</v>
      </c>
      <c r="M5" s="7" t="s">
        <v>10</v>
      </c>
      <c r="N5" s="7">
        <v>0.95164434300985767</v>
      </c>
      <c r="W5" s="7" t="s">
        <v>10</v>
      </c>
      <c r="X5" s="7">
        <v>0.99486024162249187</v>
      </c>
      <c r="AG5" s="7" t="s">
        <v>10</v>
      </c>
      <c r="AH5" s="7">
        <v>0.99069483732707153</v>
      </c>
      <c r="AQ5" s="7" t="s">
        <v>10</v>
      </c>
      <c r="AR5" s="7">
        <v>0.99621012315361335</v>
      </c>
    </row>
    <row r="6" spans="1:51" x14ac:dyDescent="0.2">
      <c r="A6" s="2">
        <v>2010</v>
      </c>
      <c r="B6" s="2">
        <v>4</v>
      </c>
      <c r="C6" s="2" t="str">
        <f t="shared" si="0"/>
        <v>2010 - Q4</v>
      </c>
      <c r="D6" s="2">
        <v>12947</v>
      </c>
      <c r="E6">
        <f t="shared" si="1"/>
        <v>0</v>
      </c>
      <c r="F6">
        <f t="shared" si="2"/>
        <v>0</v>
      </c>
      <c r="G6">
        <f t="shared" si="3"/>
        <v>0</v>
      </c>
      <c r="H6">
        <v>4</v>
      </c>
      <c r="I6">
        <f t="shared" si="4"/>
        <v>16</v>
      </c>
      <c r="J6">
        <f t="shared" si="6"/>
        <v>64</v>
      </c>
      <c r="K6">
        <f t="shared" si="5"/>
        <v>9.468619380058648</v>
      </c>
      <c r="M6" s="7" t="s">
        <v>11</v>
      </c>
      <c r="N6" s="18">
        <v>0.90562695558266371</v>
      </c>
      <c r="W6" s="7" t="s">
        <v>11</v>
      </c>
      <c r="X6" s="18">
        <v>0.98974690036116297</v>
      </c>
      <c r="AG6" s="7" t="s">
        <v>11</v>
      </c>
      <c r="AH6" s="18">
        <v>0.98147626070651262</v>
      </c>
      <c r="AQ6" s="7" t="s">
        <v>11</v>
      </c>
      <c r="AR6" s="18">
        <v>0.99243460947373741</v>
      </c>
    </row>
    <row r="7" spans="1:51" x14ac:dyDescent="0.2">
      <c r="A7" s="2">
        <v>2011</v>
      </c>
      <c r="B7" s="2">
        <v>1</v>
      </c>
      <c r="C7" s="2" t="str">
        <f t="shared" si="0"/>
        <v>2011 - Q1</v>
      </c>
      <c r="D7" s="2">
        <v>9857</v>
      </c>
      <c r="E7">
        <f t="shared" si="1"/>
        <v>1</v>
      </c>
      <c r="F7">
        <f t="shared" si="2"/>
        <v>0</v>
      </c>
      <c r="G7">
        <f t="shared" si="3"/>
        <v>0</v>
      </c>
      <c r="H7">
        <v>5</v>
      </c>
      <c r="I7">
        <f t="shared" si="4"/>
        <v>25</v>
      </c>
      <c r="J7">
        <f t="shared" si="6"/>
        <v>125</v>
      </c>
      <c r="K7">
        <f t="shared" si="5"/>
        <v>9.1959371416654392</v>
      </c>
      <c r="M7" s="7" t="s">
        <v>12</v>
      </c>
      <c r="N7" s="18">
        <v>0.89344978856107193</v>
      </c>
      <c r="W7" s="7" t="s">
        <v>12</v>
      </c>
      <c r="X7" s="18">
        <v>0.98842391976260335</v>
      </c>
      <c r="AG7" s="7" t="s">
        <v>12</v>
      </c>
      <c r="AH7" s="18">
        <v>0.97838897082426468</v>
      </c>
      <c r="AQ7" s="7" t="s">
        <v>12</v>
      </c>
      <c r="AR7" s="18">
        <v>0.99086935626140726</v>
      </c>
    </row>
    <row r="8" spans="1:51" x14ac:dyDescent="0.2">
      <c r="A8" s="2">
        <v>2011</v>
      </c>
      <c r="B8" s="2">
        <v>2</v>
      </c>
      <c r="C8" s="2" t="str">
        <f t="shared" si="0"/>
        <v>2011 - Q2</v>
      </c>
      <c r="D8" s="2">
        <v>9913</v>
      </c>
      <c r="E8">
        <f t="shared" si="1"/>
        <v>0</v>
      </c>
      <c r="F8">
        <f t="shared" si="2"/>
        <v>1</v>
      </c>
      <c r="G8">
        <f t="shared" si="3"/>
        <v>0</v>
      </c>
      <c r="H8">
        <v>6</v>
      </c>
      <c r="I8">
        <f t="shared" si="4"/>
        <v>36</v>
      </c>
      <c r="J8">
        <f t="shared" si="6"/>
        <v>216</v>
      </c>
      <c r="K8">
        <f t="shared" si="5"/>
        <v>9.201602306032898</v>
      </c>
      <c r="M8" s="7" t="s">
        <v>13</v>
      </c>
      <c r="N8" s="7">
        <v>5418.4779935781462</v>
      </c>
      <c r="W8" s="7" t="s">
        <v>13</v>
      </c>
      <c r="X8" s="58">
        <v>6.818128698861621E-2</v>
      </c>
      <c r="AG8" s="7" t="s">
        <v>13</v>
      </c>
      <c r="AH8" s="7">
        <v>2440.2699995272292</v>
      </c>
      <c r="AQ8" s="7" t="s">
        <v>13</v>
      </c>
      <c r="AR8" s="7">
        <v>1586.1741022773188</v>
      </c>
    </row>
    <row r="9" spans="1:51" ht="16" thickBot="1" x14ac:dyDescent="0.25">
      <c r="A9" s="2">
        <v>2011</v>
      </c>
      <c r="B9" s="2">
        <v>3</v>
      </c>
      <c r="C9" s="2" t="str">
        <f t="shared" si="0"/>
        <v>2011 - Q3</v>
      </c>
      <c r="D9" s="2">
        <v>10876</v>
      </c>
      <c r="E9">
        <f t="shared" si="1"/>
        <v>0</v>
      </c>
      <c r="F9">
        <f t="shared" si="2"/>
        <v>0</v>
      </c>
      <c r="G9">
        <f t="shared" si="3"/>
        <v>1</v>
      </c>
      <c r="H9">
        <v>7</v>
      </c>
      <c r="I9">
        <f t="shared" si="4"/>
        <v>49</v>
      </c>
      <c r="J9">
        <f t="shared" si="6"/>
        <v>343</v>
      </c>
      <c r="K9">
        <f t="shared" si="5"/>
        <v>9.2943138057523615</v>
      </c>
      <c r="M9" s="8" t="s">
        <v>14</v>
      </c>
      <c r="N9" s="8">
        <v>36</v>
      </c>
      <c r="W9" s="8" t="s">
        <v>14</v>
      </c>
      <c r="X9" s="8">
        <v>36</v>
      </c>
      <c r="AG9" s="8" t="s">
        <v>14</v>
      </c>
      <c r="AH9" s="8">
        <v>36</v>
      </c>
      <c r="AQ9" s="8" t="s">
        <v>14</v>
      </c>
      <c r="AR9" s="8">
        <v>36</v>
      </c>
    </row>
    <row r="10" spans="1:51" x14ac:dyDescent="0.2">
      <c r="A10" s="2">
        <v>2011</v>
      </c>
      <c r="B10" s="2">
        <v>4</v>
      </c>
      <c r="C10" s="2" t="str">
        <f t="shared" si="0"/>
        <v>2011 - Q4</v>
      </c>
      <c r="D10" s="2">
        <v>17431</v>
      </c>
      <c r="E10">
        <f t="shared" si="1"/>
        <v>0</v>
      </c>
      <c r="F10">
        <f t="shared" si="2"/>
        <v>0</v>
      </c>
      <c r="G10">
        <f t="shared" si="3"/>
        <v>0</v>
      </c>
      <c r="H10">
        <v>8</v>
      </c>
      <c r="I10">
        <f t="shared" si="4"/>
        <v>64</v>
      </c>
      <c r="J10">
        <f t="shared" si="6"/>
        <v>512</v>
      </c>
      <c r="K10">
        <f t="shared" si="5"/>
        <v>9.7660055092148657</v>
      </c>
    </row>
    <row r="11" spans="1:51" ht="16" thickBot="1" x14ac:dyDescent="0.25">
      <c r="A11" s="2">
        <v>2012</v>
      </c>
      <c r="B11" s="2">
        <v>1</v>
      </c>
      <c r="C11" s="2" t="str">
        <f t="shared" si="0"/>
        <v>2012 - Q1</v>
      </c>
      <c r="D11" s="2">
        <v>13185</v>
      </c>
      <c r="E11">
        <f t="shared" si="1"/>
        <v>1</v>
      </c>
      <c r="F11">
        <f t="shared" si="2"/>
        <v>0</v>
      </c>
      <c r="G11">
        <f t="shared" si="3"/>
        <v>0</v>
      </c>
      <c r="H11">
        <v>9</v>
      </c>
      <c r="I11">
        <f t="shared" si="4"/>
        <v>81</v>
      </c>
      <c r="J11">
        <f t="shared" si="6"/>
        <v>729</v>
      </c>
      <c r="K11">
        <f t="shared" si="5"/>
        <v>9.4868350987873864</v>
      </c>
      <c r="M11" t="s">
        <v>15</v>
      </c>
      <c r="W11" t="s">
        <v>15</v>
      </c>
      <c r="AG11" t="s">
        <v>15</v>
      </c>
      <c r="AQ11" t="s">
        <v>15</v>
      </c>
    </row>
    <row r="12" spans="1:51" x14ac:dyDescent="0.2">
      <c r="A12" s="2">
        <v>2012</v>
      </c>
      <c r="B12" s="2">
        <v>2</v>
      </c>
      <c r="C12" s="2" t="str">
        <f t="shared" si="0"/>
        <v>2012 - Q2</v>
      </c>
      <c r="D12" s="2">
        <v>12834</v>
      </c>
      <c r="E12">
        <f t="shared" si="1"/>
        <v>0</v>
      </c>
      <c r="F12">
        <f t="shared" si="2"/>
        <v>1</v>
      </c>
      <c r="G12">
        <f t="shared" si="3"/>
        <v>0</v>
      </c>
      <c r="H12">
        <v>10</v>
      </c>
      <c r="I12">
        <f t="shared" si="4"/>
        <v>100</v>
      </c>
      <c r="J12">
        <f t="shared" si="6"/>
        <v>1000</v>
      </c>
      <c r="K12">
        <f t="shared" si="5"/>
        <v>9.4598531783104605</v>
      </c>
      <c r="M12" s="9"/>
      <c r="N12" s="9" t="s">
        <v>20</v>
      </c>
      <c r="O12" s="9" t="s">
        <v>21</v>
      </c>
      <c r="P12" s="9" t="s">
        <v>22</v>
      </c>
      <c r="Q12" s="9" t="s">
        <v>23</v>
      </c>
      <c r="R12" s="9" t="s">
        <v>24</v>
      </c>
      <c r="W12" s="9"/>
      <c r="X12" s="9" t="s">
        <v>20</v>
      </c>
      <c r="Y12" s="9" t="s">
        <v>21</v>
      </c>
      <c r="Z12" s="9" t="s">
        <v>22</v>
      </c>
      <c r="AA12" s="9" t="s">
        <v>23</v>
      </c>
      <c r="AB12" s="9" t="s">
        <v>24</v>
      </c>
      <c r="AG12" s="9"/>
      <c r="AH12" s="9" t="s">
        <v>20</v>
      </c>
      <c r="AI12" s="9" t="s">
        <v>21</v>
      </c>
      <c r="AJ12" s="9" t="s">
        <v>22</v>
      </c>
      <c r="AK12" s="9" t="s">
        <v>23</v>
      </c>
      <c r="AL12" s="9" t="s">
        <v>24</v>
      </c>
      <c r="AQ12" s="9"/>
      <c r="AR12" s="9" t="s">
        <v>20</v>
      </c>
      <c r="AS12" s="9" t="s">
        <v>21</v>
      </c>
      <c r="AT12" s="9" t="s">
        <v>22</v>
      </c>
      <c r="AU12" s="9" t="s">
        <v>23</v>
      </c>
      <c r="AV12" s="9" t="s">
        <v>24</v>
      </c>
    </row>
    <row r="13" spans="1:51" x14ac:dyDescent="0.2">
      <c r="A13" s="2">
        <v>2012</v>
      </c>
      <c r="B13" s="2">
        <v>3</v>
      </c>
      <c r="C13" s="2" t="str">
        <f t="shared" si="0"/>
        <v>2012 - Q3</v>
      </c>
      <c r="D13" s="2">
        <v>13806</v>
      </c>
      <c r="E13">
        <f t="shared" si="1"/>
        <v>0</v>
      </c>
      <c r="F13">
        <f t="shared" si="2"/>
        <v>0</v>
      </c>
      <c r="G13">
        <f t="shared" si="3"/>
        <v>1</v>
      </c>
      <c r="H13">
        <v>11</v>
      </c>
      <c r="I13">
        <f t="shared" si="4"/>
        <v>121</v>
      </c>
      <c r="J13">
        <f t="shared" si="6"/>
        <v>1331</v>
      </c>
      <c r="K13">
        <f t="shared" si="5"/>
        <v>9.5328585592634205</v>
      </c>
      <c r="M13" s="7" t="s">
        <v>16</v>
      </c>
      <c r="N13" s="7">
        <v>4</v>
      </c>
      <c r="O13" s="7">
        <v>8734090685.4486122</v>
      </c>
      <c r="P13" s="7">
        <v>2183522671.3621531</v>
      </c>
      <c r="Q13" s="7">
        <v>74.370906958643545</v>
      </c>
      <c r="R13" s="7">
        <v>1.9378089321145172E-15</v>
      </c>
      <c r="W13" s="7" t="s">
        <v>16</v>
      </c>
      <c r="X13" s="7">
        <v>4</v>
      </c>
      <c r="Y13" s="7">
        <v>13.911086648592642</v>
      </c>
      <c r="Z13" s="7">
        <v>3.4777716621481605</v>
      </c>
      <c r="AA13" s="7">
        <v>748.11898333108547</v>
      </c>
      <c r="AB13" s="7">
        <v>2.4073316831894862E-30</v>
      </c>
      <c r="AG13" s="7" t="s">
        <v>16</v>
      </c>
      <c r="AH13" s="7">
        <v>5</v>
      </c>
      <c r="AI13" s="7">
        <v>9465600172.1044445</v>
      </c>
      <c r="AJ13" s="7">
        <v>1893120034.4208889</v>
      </c>
      <c r="AK13" s="7">
        <v>317.90868306538465</v>
      </c>
      <c r="AL13" s="7">
        <v>4.977750657224819E-25</v>
      </c>
      <c r="AQ13" s="7" t="s">
        <v>16</v>
      </c>
      <c r="AR13" s="7">
        <v>6</v>
      </c>
      <c r="AS13" s="7">
        <v>9571285202.0229015</v>
      </c>
      <c r="AT13" s="7">
        <v>1595214200.3371503</v>
      </c>
      <c r="AU13" s="7">
        <v>634.04093449921174</v>
      </c>
      <c r="AV13" s="7">
        <v>2.2063337617581933E-29</v>
      </c>
    </row>
    <row r="14" spans="1:51" x14ac:dyDescent="0.2">
      <c r="A14" s="2">
        <v>2012</v>
      </c>
      <c r="B14" s="2">
        <v>4</v>
      </c>
      <c r="C14" s="2" t="str">
        <f t="shared" si="0"/>
        <v>2012 - Q4</v>
      </c>
      <c r="D14" s="2">
        <v>21268</v>
      </c>
      <c r="E14">
        <f t="shared" si="1"/>
        <v>0</v>
      </c>
      <c r="F14">
        <f t="shared" si="2"/>
        <v>0</v>
      </c>
      <c r="G14">
        <f t="shared" si="3"/>
        <v>0</v>
      </c>
      <c r="H14">
        <v>12</v>
      </c>
      <c r="I14">
        <f t="shared" si="4"/>
        <v>144</v>
      </c>
      <c r="J14">
        <f t="shared" si="6"/>
        <v>1728</v>
      </c>
      <c r="K14">
        <f t="shared" si="5"/>
        <v>9.9649588746242284</v>
      </c>
      <c r="M14" s="7" t="s">
        <v>17</v>
      </c>
      <c r="N14" s="7">
        <v>31</v>
      </c>
      <c r="O14" s="7">
        <v>910157016.77361023</v>
      </c>
      <c r="P14" s="7">
        <v>29359903.766890652</v>
      </c>
      <c r="Q14" s="7"/>
      <c r="R14" s="7"/>
      <c r="W14" s="7" t="s">
        <v>17</v>
      </c>
      <c r="X14" s="7">
        <v>31</v>
      </c>
      <c r="Y14" s="7">
        <v>0.14410932475814542</v>
      </c>
      <c r="Z14" s="7">
        <v>4.648687895424046E-3</v>
      </c>
      <c r="AA14" s="7"/>
      <c r="AB14" s="7"/>
      <c r="AG14" s="7" t="s">
        <v>17</v>
      </c>
      <c r="AH14" s="7">
        <v>30</v>
      </c>
      <c r="AI14" s="7">
        <v>178647530.11777872</v>
      </c>
      <c r="AJ14" s="7">
        <v>5954917.6705926238</v>
      </c>
      <c r="AK14" s="7"/>
      <c r="AL14" s="7"/>
      <c r="AQ14" s="7" t="s">
        <v>17</v>
      </c>
      <c r="AR14" s="7">
        <v>29</v>
      </c>
      <c r="AS14" s="7">
        <v>72962500.199322492</v>
      </c>
      <c r="AT14" s="7">
        <v>2515948.2827352583</v>
      </c>
      <c r="AU14" s="7"/>
      <c r="AV14" s="7"/>
    </row>
    <row r="15" spans="1:51" ht="16" thickBot="1" x14ac:dyDescent="0.25">
      <c r="A15" s="2">
        <v>2013</v>
      </c>
      <c r="B15" s="2">
        <v>1</v>
      </c>
      <c r="C15" s="2" t="str">
        <f t="shared" si="0"/>
        <v>2013 - Q1</v>
      </c>
      <c r="D15" s="2">
        <v>16070</v>
      </c>
      <c r="E15">
        <f t="shared" si="1"/>
        <v>1</v>
      </c>
      <c r="F15">
        <f t="shared" si="2"/>
        <v>0</v>
      </c>
      <c r="G15">
        <f t="shared" si="3"/>
        <v>0</v>
      </c>
      <c r="H15">
        <v>13</v>
      </c>
      <c r="I15">
        <f t="shared" si="4"/>
        <v>169</v>
      </c>
      <c r="J15">
        <f t="shared" si="6"/>
        <v>2197</v>
      </c>
      <c r="K15">
        <f t="shared" si="5"/>
        <v>9.6847094587315574</v>
      </c>
      <c r="M15" s="8" t="s">
        <v>18</v>
      </c>
      <c r="N15" s="8">
        <v>35</v>
      </c>
      <c r="O15" s="8">
        <v>9644247702.2222233</v>
      </c>
      <c r="P15" s="8"/>
      <c r="Q15" s="8"/>
      <c r="R15" s="8"/>
      <c r="W15" s="8" t="s">
        <v>18</v>
      </c>
      <c r="X15" s="8">
        <v>35</v>
      </c>
      <c r="Y15" s="8">
        <v>14.055195973350788</v>
      </c>
      <c r="Z15" s="8"/>
      <c r="AA15" s="8"/>
      <c r="AB15" s="8"/>
      <c r="AG15" s="8" t="s">
        <v>18</v>
      </c>
      <c r="AH15" s="8">
        <v>35</v>
      </c>
      <c r="AI15" s="8">
        <v>9644247702.2222233</v>
      </c>
      <c r="AJ15" s="8"/>
      <c r="AK15" s="8"/>
      <c r="AL15" s="8"/>
      <c r="AQ15" s="8" t="s">
        <v>18</v>
      </c>
      <c r="AR15" s="8">
        <v>35</v>
      </c>
      <c r="AS15" s="8">
        <v>9644247702.2222233</v>
      </c>
      <c r="AT15" s="8"/>
      <c r="AU15" s="8"/>
      <c r="AV15" s="8"/>
    </row>
    <row r="16" spans="1:51" ht="16" thickBot="1" x14ac:dyDescent="0.25">
      <c r="A16" s="2">
        <v>2013</v>
      </c>
      <c r="B16" s="2">
        <v>2</v>
      </c>
      <c r="C16" s="2" t="str">
        <f t="shared" si="0"/>
        <v>2013 - Q2</v>
      </c>
      <c r="D16" s="2">
        <v>15704</v>
      </c>
      <c r="E16">
        <f t="shared" si="1"/>
        <v>0</v>
      </c>
      <c r="F16">
        <f t="shared" si="2"/>
        <v>1</v>
      </c>
      <c r="G16">
        <f t="shared" si="3"/>
        <v>0</v>
      </c>
      <c r="H16">
        <v>14</v>
      </c>
      <c r="I16">
        <f t="shared" si="4"/>
        <v>196</v>
      </c>
      <c r="J16">
        <f t="shared" si="6"/>
        <v>2744</v>
      </c>
      <c r="K16">
        <f t="shared" si="5"/>
        <v>9.6616707359562977</v>
      </c>
    </row>
    <row r="17" spans="1:51" x14ac:dyDescent="0.2">
      <c r="A17" s="2">
        <v>2013</v>
      </c>
      <c r="B17" s="2">
        <v>3</v>
      </c>
      <c r="C17" s="2" t="str">
        <f t="shared" si="0"/>
        <v>2013 - Q3</v>
      </c>
      <c r="D17" s="2">
        <v>17091</v>
      </c>
      <c r="E17">
        <f t="shared" si="1"/>
        <v>0</v>
      </c>
      <c r="F17">
        <f t="shared" si="2"/>
        <v>0</v>
      </c>
      <c r="G17">
        <f t="shared" si="3"/>
        <v>1</v>
      </c>
      <c r="H17">
        <v>15</v>
      </c>
      <c r="I17">
        <f t="shared" si="4"/>
        <v>225</v>
      </c>
      <c r="J17">
        <f t="shared" si="6"/>
        <v>3375</v>
      </c>
      <c r="K17">
        <f t="shared" si="5"/>
        <v>9.7463072881485058</v>
      </c>
      <c r="M17" s="9"/>
      <c r="N17" s="9" t="s">
        <v>25</v>
      </c>
      <c r="O17" s="9" t="s">
        <v>13</v>
      </c>
      <c r="P17" s="9" t="s">
        <v>26</v>
      </c>
      <c r="Q17" s="9" t="s">
        <v>27</v>
      </c>
      <c r="R17" s="9" t="s">
        <v>28</v>
      </c>
      <c r="S17" s="9" t="s">
        <v>29</v>
      </c>
      <c r="T17" s="9" t="s">
        <v>30</v>
      </c>
      <c r="U17" s="9" t="s">
        <v>31</v>
      </c>
      <c r="V17" s="19"/>
      <c r="W17" s="9"/>
      <c r="X17" s="9" t="s">
        <v>25</v>
      </c>
      <c r="Y17" s="9" t="s">
        <v>13</v>
      </c>
      <c r="Z17" s="9" t="s">
        <v>26</v>
      </c>
      <c r="AA17" s="9" t="s">
        <v>27</v>
      </c>
      <c r="AB17" s="9" t="s">
        <v>28</v>
      </c>
      <c r="AC17" s="9" t="s">
        <v>29</v>
      </c>
      <c r="AD17" s="9" t="s">
        <v>30</v>
      </c>
      <c r="AE17" s="9" t="s">
        <v>31</v>
      </c>
      <c r="AF17" s="19"/>
      <c r="AG17" s="9"/>
      <c r="AH17" s="9" t="s">
        <v>25</v>
      </c>
      <c r="AI17" s="9" t="s">
        <v>13</v>
      </c>
      <c r="AJ17" s="9" t="s">
        <v>26</v>
      </c>
      <c r="AK17" s="9" t="s">
        <v>27</v>
      </c>
      <c r="AL17" s="9" t="s">
        <v>28</v>
      </c>
      <c r="AM17" s="9" t="s">
        <v>29</v>
      </c>
      <c r="AN17" s="9" t="s">
        <v>30</v>
      </c>
      <c r="AO17" s="9" t="s">
        <v>31</v>
      </c>
      <c r="AQ17" s="9"/>
      <c r="AR17" s="9" t="s">
        <v>25</v>
      </c>
      <c r="AS17" s="9" t="s">
        <v>13</v>
      </c>
      <c r="AT17" s="9" t="s">
        <v>26</v>
      </c>
      <c r="AU17" s="9" t="s">
        <v>27</v>
      </c>
      <c r="AV17" s="9" t="s">
        <v>28</v>
      </c>
      <c r="AW17" s="9" t="s">
        <v>29</v>
      </c>
      <c r="AX17" s="9" t="s">
        <v>30</v>
      </c>
      <c r="AY17" s="9" t="s">
        <v>31</v>
      </c>
    </row>
    <row r="18" spans="1:51" x14ac:dyDescent="0.2">
      <c r="A18" s="2">
        <v>2013</v>
      </c>
      <c r="B18" s="2">
        <v>4</v>
      </c>
      <c r="C18" s="2" t="str">
        <f t="shared" si="0"/>
        <v>2013 - Q4</v>
      </c>
      <c r="D18" s="2">
        <v>25587</v>
      </c>
      <c r="E18">
        <f t="shared" si="1"/>
        <v>0</v>
      </c>
      <c r="F18">
        <f t="shared" si="2"/>
        <v>0</v>
      </c>
      <c r="G18">
        <f t="shared" si="3"/>
        <v>0</v>
      </c>
      <c r="H18">
        <v>16</v>
      </c>
      <c r="I18">
        <f t="shared" si="4"/>
        <v>256</v>
      </c>
      <c r="J18">
        <f t="shared" si="6"/>
        <v>4096</v>
      </c>
      <c r="K18">
        <f t="shared" si="5"/>
        <v>10.149839688987219</v>
      </c>
      <c r="M18" s="7" t="s">
        <v>19</v>
      </c>
      <c r="N18" s="60">
        <v>6964.2569444444307</v>
      </c>
      <c r="O18" s="7">
        <v>2514.0673894519268</v>
      </c>
      <c r="P18" s="7">
        <v>2.7701154605734959</v>
      </c>
      <c r="Q18" s="7">
        <v>9.3822401559197806E-3</v>
      </c>
      <c r="R18" s="7">
        <v>1836.7826985105105</v>
      </c>
      <c r="S18" s="7">
        <v>12091.73119037835</v>
      </c>
      <c r="T18" s="7">
        <v>1836.7826985105105</v>
      </c>
      <c r="U18" s="7">
        <v>12091.73119037835</v>
      </c>
      <c r="V18" s="7"/>
      <c r="W18" s="7" t="s">
        <v>19</v>
      </c>
      <c r="X18" s="58">
        <v>9.1903592508818441</v>
      </c>
      <c r="Y18" s="7">
        <v>3.1634778325591965E-2</v>
      </c>
      <c r="Z18" s="7">
        <v>290.51441917160548</v>
      </c>
      <c r="AA18" s="7">
        <v>8.0959544768791408E-55</v>
      </c>
      <c r="AB18" s="7">
        <v>9.1258396951130294</v>
      </c>
      <c r="AC18" s="7">
        <v>9.2548788066506589</v>
      </c>
      <c r="AD18" s="7">
        <v>9.1258396951130294</v>
      </c>
      <c r="AE18" s="7">
        <v>9.2548788066506589</v>
      </c>
      <c r="AF18" s="7"/>
      <c r="AG18" s="7" t="s">
        <v>19</v>
      </c>
      <c r="AH18" s="58">
        <v>17874.363448950098</v>
      </c>
      <c r="AI18" s="7">
        <v>1500.3130126973981</v>
      </c>
      <c r="AJ18" s="7">
        <v>11.91375619465831</v>
      </c>
      <c r="AK18" s="7">
        <v>6.6807988907371268E-13</v>
      </c>
      <c r="AL18" s="7">
        <v>14810.315507287873</v>
      </c>
      <c r="AM18" s="7">
        <v>20938.411390612324</v>
      </c>
      <c r="AN18" s="7">
        <v>14810.315507287873</v>
      </c>
      <c r="AO18" s="7">
        <v>20938.411390612324</v>
      </c>
      <c r="AQ18" s="7" t="s">
        <v>19</v>
      </c>
      <c r="AR18" s="7">
        <v>12003.686903884529</v>
      </c>
      <c r="AS18" s="7">
        <v>1330.9746711790851</v>
      </c>
      <c r="AT18" s="7">
        <v>9.0187192617652823</v>
      </c>
      <c r="AU18" s="7">
        <v>6.5109333925544394E-10</v>
      </c>
      <c r="AV18" s="7">
        <v>9281.5380534612341</v>
      </c>
      <c r="AW18" s="7">
        <v>14725.835754307824</v>
      </c>
      <c r="AX18" s="7">
        <v>9281.5380534612341</v>
      </c>
      <c r="AY18" s="7">
        <v>14725.835754307824</v>
      </c>
    </row>
    <row r="19" spans="1:51" x14ac:dyDescent="0.2">
      <c r="A19" s="2">
        <v>2014</v>
      </c>
      <c r="B19" s="2">
        <v>1</v>
      </c>
      <c r="C19" s="2" t="str">
        <f t="shared" si="0"/>
        <v>2014 - Q1</v>
      </c>
      <c r="D19" s="2">
        <v>19741</v>
      </c>
      <c r="E19">
        <f t="shared" si="1"/>
        <v>1</v>
      </c>
      <c r="F19">
        <f t="shared" si="2"/>
        <v>0</v>
      </c>
      <c r="G19">
        <f t="shared" si="3"/>
        <v>0</v>
      </c>
      <c r="H19">
        <v>17</v>
      </c>
      <c r="I19">
        <f t="shared" si="4"/>
        <v>289</v>
      </c>
      <c r="J19">
        <f t="shared" si="6"/>
        <v>4913</v>
      </c>
      <c r="K19">
        <f t="shared" si="5"/>
        <v>9.8904529702656685</v>
      </c>
      <c r="M19" s="7" t="s">
        <v>4</v>
      </c>
      <c r="N19" s="60">
        <v>-8429.9829861111175</v>
      </c>
      <c r="O19" s="7">
        <v>2567.7296068244182</v>
      </c>
      <c r="P19" s="7">
        <v>-3.2830493381025074</v>
      </c>
      <c r="Q19" s="7">
        <v>2.547864961022799E-3</v>
      </c>
      <c r="R19" s="7">
        <v>-13666.902045939682</v>
      </c>
      <c r="S19" s="7">
        <v>-3193.0639262825543</v>
      </c>
      <c r="T19" s="7">
        <v>-13666.902045939682</v>
      </c>
      <c r="U19" s="7">
        <v>-3193.0639262825543</v>
      </c>
      <c r="V19" s="7"/>
      <c r="W19" s="7" t="s">
        <v>4</v>
      </c>
      <c r="X19" s="58">
        <v>-0.29970877255407846</v>
      </c>
      <c r="Y19" s="7">
        <v>3.231001573496331E-2</v>
      </c>
      <c r="Z19" s="7">
        <v>-9.2760330113289804</v>
      </c>
      <c r="AA19" s="7">
        <v>1.8689339650264991E-10</v>
      </c>
      <c r="AB19" s="7">
        <v>-0.36560548409881566</v>
      </c>
      <c r="AC19" s="7">
        <v>-0.23381206100934127</v>
      </c>
      <c r="AD19" s="7">
        <v>-0.36560548409881566</v>
      </c>
      <c r="AE19" s="7">
        <v>-0.23381206100934127</v>
      </c>
      <c r="AF19" s="7"/>
      <c r="AG19" s="7" t="s">
        <v>4</v>
      </c>
      <c r="AH19" s="58">
        <v>-8429.9829861111211</v>
      </c>
      <c r="AI19" s="7">
        <v>1156.4047198969413</v>
      </c>
      <c r="AJ19" s="7">
        <v>-7.2898206320555321</v>
      </c>
      <c r="AK19" s="7">
        <v>4.06570506310189E-8</v>
      </c>
      <c r="AL19" s="7">
        <v>-10791.676493893392</v>
      </c>
      <c r="AM19" s="7">
        <v>-6068.2894783288502</v>
      </c>
      <c r="AN19" s="7">
        <v>-10791.676493893392</v>
      </c>
      <c r="AO19" s="7">
        <v>-6068.2894783288502</v>
      </c>
      <c r="AQ19" s="7" t="s">
        <v>4</v>
      </c>
      <c r="AR19" s="7">
        <v>-7659.3081400635438</v>
      </c>
      <c r="AS19" s="7">
        <v>761.00969763521027</v>
      </c>
      <c r="AT19" s="7">
        <v>-10.064665619721222</v>
      </c>
      <c r="AU19" s="7">
        <v>5.7008094322389809E-11</v>
      </c>
      <c r="AV19" s="7">
        <v>-9215.7477316175227</v>
      </c>
      <c r="AW19" s="7">
        <v>-6102.8685485095648</v>
      </c>
      <c r="AX19" s="7">
        <v>-9215.7477316175227</v>
      </c>
      <c r="AY19" s="7">
        <v>-6102.8685485095648</v>
      </c>
    </row>
    <row r="20" spans="1:51" x14ac:dyDescent="0.2">
      <c r="A20" s="2">
        <v>2014</v>
      </c>
      <c r="B20" s="2">
        <v>2</v>
      </c>
      <c r="C20" s="2" t="str">
        <f t="shared" si="0"/>
        <v>2014 - Q2</v>
      </c>
      <c r="D20" s="2">
        <v>19340</v>
      </c>
      <c r="E20">
        <f t="shared" si="1"/>
        <v>0</v>
      </c>
      <c r="F20">
        <f t="shared" si="2"/>
        <v>1</v>
      </c>
      <c r="G20">
        <f t="shared" si="3"/>
        <v>0</v>
      </c>
      <c r="H20">
        <v>18</v>
      </c>
      <c r="I20">
        <f t="shared" si="4"/>
        <v>324</v>
      </c>
      <c r="J20">
        <f t="shared" si="6"/>
        <v>5832</v>
      </c>
      <c r="K20">
        <f t="shared" si="5"/>
        <v>9.8699307690072846</v>
      </c>
      <c r="M20" s="7" t="s">
        <v>5</v>
      </c>
      <c r="N20" s="60">
        <v>-9386.5812500000029</v>
      </c>
      <c r="O20" s="7">
        <v>2560.2746517511646</v>
      </c>
      <c r="P20" s="7">
        <v>-3.6662399651458539</v>
      </c>
      <c r="Q20" s="7">
        <v>9.1484748446220559E-4</v>
      </c>
      <c r="R20" s="7">
        <v>-14608.295828714385</v>
      </c>
      <c r="S20" s="7">
        <v>-4164.8666712856211</v>
      </c>
      <c r="T20" s="7">
        <v>-14608.295828714385</v>
      </c>
      <c r="U20" s="7">
        <v>-4164.8666712856211</v>
      </c>
      <c r="V20" s="7"/>
      <c r="W20" s="7" t="s">
        <v>5</v>
      </c>
      <c r="X20" s="58">
        <v>-0.35553761502237108</v>
      </c>
      <c r="Y20" s="7">
        <v>3.2216209239497383E-2</v>
      </c>
      <c r="Z20" s="7">
        <v>-11.035985406578455</v>
      </c>
      <c r="AA20" s="7">
        <v>2.892080178255793E-12</v>
      </c>
      <c r="AB20" s="7">
        <v>-0.42124300695824618</v>
      </c>
      <c r="AC20" s="7">
        <v>-0.28983222308649598</v>
      </c>
      <c r="AD20" s="7">
        <v>-0.42124300695824618</v>
      </c>
      <c r="AE20" s="7">
        <v>-0.28983222308649598</v>
      </c>
      <c r="AF20" s="7"/>
      <c r="AG20" s="7" t="s">
        <v>5</v>
      </c>
      <c r="AH20" s="58">
        <v>-9293.0660513899511</v>
      </c>
      <c r="AI20" s="7">
        <v>1153.0781705277109</v>
      </c>
      <c r="AJ20" s="7">
        <v>-8.0593547678878892</v>
      </c>
      <c r="AK20" s="7">
        <v>5.3742768204952712E-9</v>
      </c>
      <c r="AL20" s="7">
        <v>-11647.965839020917</v>
      </c>
      <c r="AM20" s="7">
        <v>-6938.1662637589852</v>
      </c>
      <c r="AN20" s="7">
        <v>-11647.965839020917</v>
      </c>
      <c r="AO20" s="7">
        <v>-6938.1662637589852</v>
      </c>
      <c r="AQ20" s="7" t="s">
        <v>5</v>
      </c>
      <c r="AR20" s="7">
        <v>-8781.263480794496</v>
      </c>
      <c r="AS20" s="7">
        <v>753.64865140614086</v>
      </c>
      <c r="AT20" s="7">
        <v>-11.651667477160094</v>
      </c>
      <c r="AU20" s="7">
        <v>1.8469692742777745E-12</v>
      </c>
      <c r="AV20" s="7">
        <v>-10322.648042403673</v>
      </c>
      <c r="AW20" s="7">
        <v>-7239.8789191853193</v>
      </c>
      <c r="AX20" s="7">
        <v>-10322.648042403673</v>
      </c>
      <c r="AY20" s="7">
        <v>-7239.8789191853193</v>
      </c>
    </row>
    <row r="21" spans="1:51" x14ac:dyDescent="0.2">
      <c r="A21" s="2">
        <v>2014</v>
      </c>
      <c r="B21" s="2">
        <v>3</v>
      </c>
      <c r="C21" s="2" t="str">
        <f t="shared" si="0"/>
        <v>2014 - Q3</v>
      </c>
      <c r="D21" s="2">
        <v>20578</v>
      </c>
      <c r="E21">
        <f t="shared" si="1"/>
        <v>0</v>
      </c>
      <c r="F21">
        <f t="shared" si="2"/>
        <v>0</v>
      </c>
      <c r="G21">
        <f t="shared" si="3"/>
        <v>1</v>
      </c>
      <c r="H21">
        <v>19</v>
      </c>
      <c r="I21">
        <f t="shared" si="4"/>
        <v>361</v>
      </c>
      <c r="J21">
        <f t="shared" si="6"/>
        <v>6859</v>
      </c>
      <c r="K21">
        <f t="shared" si="5"/>
        <v>9.9319778229357549</v>
      </c>
      <c r="M21" s="7" t="s">
        <v>6</v>
      </c>
      <c r="N21" s="60">
        <v>-8641.4017361111128</v>
      </c>
      <c r="O21" s="7">
        <v>2555.7912410018275</v>
      </c>
      <c r="P21" s="7">
        <v>-3.3811062490079697</v>
      </c>
      <c r="Q21" s="7">
        <v>1.9673811256506659E-3</v>
      </c>
      <c r="R21" s="7">
        <v>-13853.972338316504</v>
      </c>
      <c r="S21" s="7">
        <v>-3428.8311339057223</v>
      </c>
      <c r="T21" s="7">
        <v>-13853.972338316504</v>
      </c>
      <c r="U21" s="7">
        <v>-3428.8311339057223</v>
      </c>
      <c r="V21" s="7"/>
      <c r="W21" s="7" t="s">
        <v>6</v>
      </c>
      <c r="X21" s="58">
        <v>-0.32097978841801822</v>
      </c>
      <c r="Y21" s="7">
        <v>3.215979400345681E-2</v>
      </c>
      <c r="Z21" s="7">
        <v>-9.9807787445254341</v>
      </c>
      <c r="AA21" s="7">
        <v>3.3554233964681325E-11</v>
      </c>
      <c r="AB21" s="7">
        <v>-0.38657012072140695</v>
      </c>
      <c r="AC21" s="7">
        <v>-0.25538945611462949</v>
      </c>
      <c r="AD21" s="7">
        <v>-0.38657012072140695</v>
      </c>
      <c r="AE21" s="7">
        <v>-0.25538945611462949</v>
      </c>
      <c r="AF21" s="7"/>
      <c r="AG21" s="7" t="s">
        <v>6</v>
      </c>
      <c r="AH21" s="58">
        <v>-8547.8865375010646</v>
      </c>
      <c r="AI21" s="7">
        <v>1151.059072297066</v>
      </c>
      <c r="AJ21" s="7">
        <v>-7.4261058734742509</v>
      </c>
      <c r="AK21" s="7">
        <v>2.8264974140231493E-8</v>
      </c>
      <c r="AL21" s="7">
        <v>-10898.662776429017</v>
      </c>
      <c r="AM21" s="7">
        <v>-6197.1102985731113</v>
      </c>
      <c r="AN21" s="7">
        <v>-10898.662776429017</v>
      </c>
      <c r="AO21" s="7">
        <v>-6197.1102985731113</v>
      </c>
      <c r="AQ21" s="7" t="s">
        <v>6</v>
      </c>
      <c r="AR21" s="7">
        <v>-8289.0142620489514</v>
      </c>
      <c r="AS21" s="7">
        <v>749.25313034219812</v>
      </c>
      <c r="AT21" s="7">
        <v>-11.063035877158367</v>
      </c>
      <c r="AU21" s="7">
        <v>6.3568317961130027E-12</v>
      </c>
      <c r="AV21" s="7">
        <v>-9821.4089736855349</v>
      </c>
      <c r="AW21" s="7">
        <v>-6756.6195504123689</v>
      </c>
      <c r="AX21" s="7">
        <v>-9821.4089736855349</v>
      </c>
      <c r="AY21" s="7">
        <v>-6756.6195504123689</v>
      </c>
    </row>
    <row r="22" spans="1:51" ht="16" thickBot="1" x14ac:dyDescent="0.25">
      <c r="A22" s="2">
        <v>2014</v>
      </c>
      <c r="B22" s="2">
        <v>4</v>
      </c>
      <c r="C22" s="2" t="str">
        <f t="shared" si="0"/>
        <v>2014 - Q4</v>
      </c>
      <c r="D22" s="2">
        <v>29329</v>
      </c>
      <c r="E22">
        <f t="shared" si="1"/>
        <v>0</v>
      </c>
      <c r="F22">
        <f t="shared" si="2"/>
        <v>0</v>
      </c>
      <c r="G22">
        <f t="shared" si="3"/>
        <v>0</v>
      </c>
      <c r="H22">
        <v>20</v>
      </c>
      <c r="I22">
        <f t="shared" si="4"/>
        <v>400</v>
      </c>
      <c r="J22">
        <f t="shared" si="6"/>
        <v>8000</v>
      </c>
      <c r="K22">
        <f t="shared" si="5"/>
        <v>10.286332066606759</v>
      </c>
      <c r="M22" s="8" t="s">
        <v>7</v>
      </c>
      <c r="N22" s="61">
        <v>1423.3760416666676</v>
      </c>
      <c r="O22" s="8">
        <v>87.440312628831421</v>
      </c>
      <c r="P22" s="8">
        <v>16.27825883592898</v>
      </c>
      <c r="Q22" s="8">
        <v>9.6996374044469584E-17</v>
      </c>
      <c r="R22" s="8">
        <v>1245.0403483030602</v>
      </c>
      <c r="S22" s="8">
        <v>1601.7117350302749</v>
      </c>
      <c r="T22" s="8">
        <v>1245.0403483030602</v>
      </c>
      <c r="U22" s="8">
        <v>1601.7117350302749</v>
      </c>
      <c r="V22" s="7"/>
      <c r="W22" s="8" t="s">
        <v>7</v>
      </c>
      <c r="X22" s="59">
        <v>5.7178518184365507E-2</v>
      </c>
      <c r="Y22" s="8">
        <v>1.1002707876245793E-3</v>
      </c>
      <c r="Z22" s="8">
        <v>51.967678163855105</v>
      </c>
      <c r="AA22" s="8">
        <v>1.0153797710453725E-31</v>
      </c>
      <c r="AB22" s="8">
        <v>5.4934501118328011E-2</v>
      </c>
      <c r="AC22" s="8">
        <v>5.9422535250403002E-2</v>
      </c>
      <c r="AD22" s="8">
        <v>5.4934501118328011E-2</v>
      </c>
      <c r="AE22" s="8">
        <v>5.9422535250403002E-2</v>
      </c>
      <c r="AF22" s="7"/>
      <c r="AG22" s="7" t="s">
        <v>7</v>
      </c>
      <c r="AH22" s="58">
        <v>-306.65513261922865</v>
      </c>
      <c r="AI22" s="7">
        <v>160.98324455555149</v>
      </c>
      <c r="AJ22" s="7">
        <v>-1.9048885085267941</v>
      </c>
      <c r="AK22" s="7">
        <v>6.64210805195323E-2</v>
      </c>
      <c r="AL22" s="7">
        <v>-635.42677890103766</v>
      </c>
      <c r="AM22" s="7">
        <v>22.11651366258036</v>
      </c>
      <c r="AN22" s="7">
        <v>-635.42677890103766</v>
      </c>
      <c r="AO22" s="7">
        <v>22.11651366258036</v>
      </c>
      <c r="AQ22" s="7" t="s">
        <v>7</v>
      </c>
      <c r="AR22" s="7">
        <v>1345.6115252396394</v>
      </c>
      <c r="AS22" s="7">
        <v>275.57144180252112</v>
      </c>
      <c r="AT22" s="7">
        <v>4.882986119454011</v>
      </c>
      <c r="AU22" s="7">
        <v>3.5114893203601349E-5</v>
      </c>
      <c r="AV22" s="7">
        <v>782.00464393987568</v>
      </c>
      <c r="AW22" s="7">
        <v>1909.2184065394031</v>
      </c>
      <c r="AX22" s="7">
        <v>782.00464393987568</v>
      </c>
      <c r="AY22" s="7">
        <v>1909.2184065394031</v>
      </c>
    </row>
    <row r="23" spans="1:51" ht="16" thickBot="1" x14ac:dyDescent="0.25">
      <c r="A23" s="2">
        <v>2015</v>
      </c>
      <c r="B23" s="2">
        <v>1</v>
      </c>
      <c r="C23" s="2" t="str">
        <f t="shared" si="0"/>
        <v>2015 - Q1</v>
      </c>
      <c r="D23" s="2">
        <v>22717</v>
      </c>
      <c r="E23">
        <f t="shared" si="1"/>
        <v>1</v>
      </c>
      <c r="F23">
        <f t="shared" si="2"/>
        <v>0</v>
      </c>
      <c r="G23">
        <f t="shared" si="3"/>
        <v>0</v>
      </c>
      <c r="H23">
        <v>21</v>
      </c>
      <c r="I23">
        <f t="shared" si="4"/>
        <v>441</v>
      </c>
      <c r="J23">
        <f t="shared" si="6"/>
        <v>9261</v>
      </c>
      <c r="K23">
        <f t="shared" si="5"/>
        <v>10.030868821863221</v>
      </c>
      <c r="AG23" s="8" t="s">
        <v>32</v>
      </c>
      <c r="AH23" s="59">
        <v>46.757599305024193</v>
      </c>
      <c r="AI23" s="8">
        <v>4.2187141956996852</v>
      </c>
      <c r="AJ23" s="8">
        <v>11.08337686224068</v>
      </c>
      <c r="AK23" s="8">
        <v>3.9551417143225445E-12</v>
      </c>
      <c r="AL23" s="8">
        <v>38.141835502139699</v>
      </c>
      <c r="AM23" s="8">
        <v>55.373363107908688</v>
      </c>
      <c r="AN23" s="8">
        <v>38.141835502139699</v>
      </c>
      <c r="AO23" s="8">
        <v>55.373363107908688</v>
      </c>
      <c r="AQ23" s="7" t="s">
        <v>32</v>
      </c>
      <c r="AR23" s="7">
        <v>-63.169036407235602</v>
      </c>
      <c r="AS23" s="7">
        <v>17.181069329845492</v>
      </c>
      <c r="AT23" s="7">
        <v>-3.6766650081263408</v>
      </c>
      <c r="AU23" s="7">
        <v>9.5508523198546908E-4</v>
      </c>
      <c r="AV23" s="7">
        <v>-98.308268684172688</v>
      </c>
      <c r="AW23" s="7">
        <v>-28.029804130298515</v>
      </c>
      <c r="AX23" s="7">
        <v>-98.308268684172688</v>
      </c>
      <c r="AY23" s="7">
        <v>-28.029804130298515</v>
      </c>
    </row>
    <row r="24" spans="1:51" ht="16" thickBot="1" x14ac:dyDescent="0.25">
      <c r="A24" s="2">
        <v>2015</v>
      </c>
      <c r="B24" s="2">
        <v>2</v>
      </c>
      <c r="C24" s="2" t="str">
        <f t="shared" si="0"/>
        <v>2015 - Q2</v>
      </c>
      <c r="D24" s="2">
        <v>23184</v>
      </c>
      <c r="E24">
        <f t="shared" si="1"/>
        <v>0</v>
      </c>
      <c r="F24">
        <f t="shared" si="2"/>
        <v>1</v>
      </c>
      <c r="G24">
        <f t="shared" si="3"/>
        <v>0</v>
      </c>
      <c r="H24">
        <v>22</v>
      </c>
      <c r="I24">
        <f t="shared" si="4"/>
        <v>484</v>
      </c>
      <c r="J24">
        <f t="shared" si="6"/>
        <v>10648</v>
      </c>
      <c r="K24">
        <f t="shared" si="5"/>
        <v>10.051217664560463</v>
      </c>
      <c r="AQ24" s="8" t="s">
        <v>33</v>
      </c>
      <c r="AR24" s="8">
        <v>1.9806601029236</v>
      </c>
      <c r="AS24" s="8">
        <v>0.30560050741085842</v>
      </c>
      <c r="AT24" s="8">
        <v>6.4812068530394864</v>
      </c>
      <c r="AU24" s="8">
        <v>4.2930276563412204E-7</v>
      </c>
      <c r="AV24" s="8">
        <v>1.355636886516117</v>
      </c>
      <c r="AW24" s="8">
        <v>2.6056833193310829</v>
      </c>
      <c r="AX24" s="8">
        <v>1.355636886516117</v>
      </c>
      <c r="AY24" s="8">
        <v>2.6056833193310829</v>
      </c>
    </row>
    <row r="25" spans="1:51" x14ac:dyDescent="0.2">
      <c r="A25" s="2">
        <v>2015</v>
      </c>
      <c r="B25" s="2">
        <v>3</v>
      </c>
      <c r="C25" s="2" t="str">
        <f t="shared" si="0"/>
        <v>2015 - Q3</v>
      </c>
      <c r="D25" s="2">
        <v>25358</v>
      </c>
      <c r="E25">
        <f t="shared" si="1"/>
        <v>0</v>
      </c>
      <c r="F25">
        <f t="shared" si="2"/>
        <v>0</v>
      </c>
      <c r="G25">
        <f t="shared" si="3"/>
        <v>1</v>
      </c>
      <c r="H25">
        <v>23</v>
      </c>
      <c r="I25">
        <f t="shared" si="4"/>
        <v>529</v>
      </c>
      <c r="J25">
        <f t="shared" si="6"/>
        <v>12167</v>
      </c>
      <c r="K25">
        <f t="shared" si="5"/>
        <v>10.140849541087894</v>
      </c>
    </row>
    <row r="26" spans="1:51" x14ac:dyDescent="0.2">
      <c r="A26" s="2">
        <v>2015</v>
      </c>
      <c r="B26" s="2">
        <v>4</v>
      </c>
      <c r="C26" s="2" t="str">
        <f t="shared" si="0"/>
        <v>2015 - Q4</v>
      </c>
      <c r="D26" s="2">
        <v>35747</v>
      </c>
      <c r="E26">
        <f t="shared" si="1"/>
        <v>0</v>
      </c>
      <c r="F26">
        <f t="shared" si="2"/>
        <v>0</v>
      </c>
      <c r="G26">
        <f t="shared" si="3"/>
        <v>0</v>
      </c>
      <c r="H26">
        <v>24</v>
      </c>
      <c r="I26">
        <f t="shared" si="4"/>
        <v>576</v>
      </c>
      <c r="J26">
        <f t="shared" si="6"/>
        <v>13824</v>
      </c>
      <c r="K26">
        <f t="shared" si="5"/>
        <v>10.484221628517085</v>
      </c>
    </row>
    <row r="27" spans="1:51" x14ac:dyDescent="0.2">
      <c r="A27" s="2">
        <v>2016</v>
      </c>
      <c r="B27" s="2">
        <v>1</v>
      </c>
      <c r="C27" s="2" t="str">
        <f t="shared" si="0"/>
        <v>2016 - Q1</v>
      </c>
      <c r="D27" s="2">
        <v>29128</v>
      </c>
      <c r="E27">
        <f t="shared" si="1"/>
        <v>1</v>
      </c>
      <c r="F27">
        <f t="shared" si="2"/>
        <v>0</v>
      </c>
      <c r="G27">
        <f t="shared" si="3"/>
        <v>0</v>
      </c>
      <c r="H27">
        <v>25</v>
      </c>
      <c r="I27">
        <f t="shared" si="4"/>
        <v>625</v>
      </c>
      <c r="J27">
        <f t="shared" si="6"/>
        <v>15625</v>
      </c>
      <c r="K27">
        <f t="shared" si="5"/>
        <v>10.27945518985527</v>
      </c>
    </row>
    <row r="28" spans="1:51" x14ac:dyDescent="0.2">
      <c r="A28" s="2">
        <v>2016</v>
      </c>
      <c r="B28" s="2">
        <v>2</v>
      </c>
      <c r="C28" s="2" t="str">
        <f t="shared" si="0"/>
        <v>2016 - Q2</v>
      </c>
      <c r="D28" s="2">
        <v>30404</v>
      </c>
      <c r="E28">
        <f t="shared" si="1"/>
        <v>0</v>
      </c>
      <c r="F28">
        <f t="shared" si="2"/>
        <v>1</v>
      </c>
      <c r="G28">
        <f t="shared" si="3"/>
        <v>0</v>
      </c>
      <c r="H28">
        <v>26</v>
      </c>
      <c r="I28">
        <f t="shared" si="4"/>
        <v>676</v>
      </c>
      <c r="J28">
        <f t="shared" si="6"/>
        <v>17576</v>
      </c>
      <c r="K28">
        <f t="shared" si="5"/>
        <v>10.322329457685932</v>
      </c>
    </row>
    <row r="29" spans="1:51" x14ac:dyDescent="0.2">
      <c r="A29" s="2">
        <v>2016</v>
      </c>
      <c r="B29" s="2">
        <v>3</v>
      </c>
      <c r="C29" s="2" t="str">
        <f t="shared" si="0"/>
        <v>2016 - Q3</v>
      </c>
      <c r="D29" s="2">
        <v>32714</v>
      </c>
      <c r="E29">
        <f t="shared" si="1"/>
        <v>0</v>
      </c>
      <c r="F29">
        <f t="shared" si="2"/>
        <v>0</v>
      </c>
      <c r="G29">
        <f t="shared" si="3"/>
        <v>1</v>
      </c>
      <c r="H29">
        <v>27</v>
      </c>
      <c r="I29">
        <f t="shared" si="4"/>
        <v>729</v>
      </c>
      <c r="J29">
        <f t="shared" si="6"/>
        <v>19683</v>
      </c>
      <c r="K29">
        <f t="shared" si="5"/>
        <v>10.395558399818471</v>
      </c>
    </row>
    <row r="30" spans="1:51" x14ac:dyDescent="0.2">
      <c r="A30" s="2">
        <v>2016</v>
      </c>
      <c r="B30" s="2">
        <v>4</v>
      </c>
      <c r="C30" s="2" t="str">
        <f t="shared" si="0"/>
        <v>2016 - Q4</v>
      </c>
      <c r="D30" s="2">
        <v>43741</v>
      </c>
      <c r="E30">
        <f t="shared" si="1"/>
        <v>0</v>
      </c>
      <c r="F30">
        <f t="shared" si="2"/>
        <v>0</v>
      </c>
      <c r="G30">
        <f t="shared" si="3"/>
        <v>0</v>
      </c>
      <c r="H30">
        <v>28</v>
      </c>
      <c r="I30">
        <f t="shared" si="4"/>
        <v>784</v>
      </c>
      <c r="J30">
        <f t="shared" si="6"/>
        <v>21952</v>
      </c>
      <c r="K30">
        <f t="shared" si="5"/>
        <v>10.686041156337961</v>
      </c>
    </row>
    <row r="31" spans="1:51" x14ac:dyDescent="0.2">
      <c r="A31" s="2">
        <v>2017</v>
      </c>
      <c r="B31" s="2">
        <v>1</v>
      </c>
      <c r="C31" s="2" t="str">
        <f t="shared" si="0"/>
        <v>2017 - Q1</v>
      </c>
      <c r="D31" s="2">
        <v>35714</v>
      </c>
      <c r="E31">
        <f t="shared" si="1"/>
        <v>1</v>
      </c>
      <c r="F31">
        <f t="shared" si="2"/>
        <v>0</v>
      </c>
      <c r="G31">
        <f t="shared" si="3"/>
        <v>0</v>
      </c>
      <c r="H31">
        <v>29</v>
      </c>
      <c r="I31">
        <f t="shared" si="4"/>
        <v>841</v>
      </c>
      <c r="J31">
        <f t="shared" si="6"/>
        <v>24389</v>
      </c>
      <c r="K31">
        <f t="shared" si="5"/>
        <v>10.483298047757071</v>
      </c>
    </row>
    <row r="32" spans="1:51" x14ac:dyDescent="0.2">
      <c r="A32" s="2">
        <v>2017</v>
      </c>
      <c r="B32" s="2">
        <v>2</v>
      </c>
      <c r="C32" s="2" t="str">
        <f t="shared" si="0"/>
        <v>2017 - Q2</v>
      </c>
      <c r="D32" s="2">
        <v>37955</v>
      </c>
      <c r="E32">
        <f t="shared" si="1"/>
        <v>0</v>
      </c>
      <c r="F32">
        <f t="shared" si="2"/>
        <v>1</v>
      </c>
      <c r="G32">
        <f t="shared" si="3"/>
        <v>0</v>
      </c>
      <c r="H32">
        <v>30</v>
      </c>
      <c r="I32">
        <f t="shared" si="4"/>
        <v>900</v>
      </c>
      <c r="J32">
        <f t="shared" si="6"/>
        <v>27000</v>
      </c>
      <c r="K32">
        <f t="shared" si="5"/>
        <v>10.544156526450868</v>
      </c>
    </row>
    <row r="33" spans="1:46" x14ac:dyDescent="0.2">
      <c r="A33" s="2">
        <v>2017</v>
      </c>
      <c r="B33" s="2">
        <v>3</v>
      </c>
      <c r="C33" s="2" t="str">
        <f t="shared" si="0"/>
        <v>2017 - Q3</v>
      </c>
      <c r="D33" s="2">
        <v>43744</v>
      </c>
      <c r="E33">
        <f t="shared" si="1"/>
        <v>0</v>
      </c>
      <c r="F33">
        <f t="shared" si="2"/>
        <v>0</v>
      </c>
      <c r="G33">
        <f t="shared" si="3"/>
        <v>1</v>
      </c>
      <c r="H33">
        <v>31</v>
      </c>
      <c r="I33">
        <f t="shared" si="4"/>
        <v>961</v>
      </c>
      <c r="J33">
        <f t="shared" si="6"/>
        <v>29791</v>
      </c>
      <c r="K33">
        <f t="shared" si="5"/>
        <v>10.686109739523676</v>
      </c>
    </row>
    <row r="34" spans="1:46" x14ac:dyDescent="0.2">
      <c r="A34" s="2">
        <v>2017</v>
      </c>
      <c r="B34" s="2">
        <v>4</v>
      </c>
      <c r="C34" s="2" t="str">
        <f t="shared" si="0"/>
        <v>2017 - Q4</v>
      </c>
      <c r="D34" s="2">
        <v>60453</v>
      </c>
      <c r="E34">
        <f t="shared" si="1"/>
        <v>0</v>
      </c>
      <c r="F34">
        <f t="shared" si="2"/>
        <v>0</v>
      </c>
      <c r="G34">
        <f t="shared" si="3"/>
        <v>0</v>
      </c>
      <c r="H34">
        <v>32</v>
      </c>
      <c r="I34">
        <f t="shared" si="4"/>
        <v>1024</v>
      </c>
      <c r="J34">
        <f t="shared" si="6"/>
        <v>32768</v>
      </c>
      <c r="K34">
        <f t="shared" si="5"/>
        <v>11.009621482603084</v>
      </c>
    </row>
    <row r="35" spans="1:46" x14ac:dyDescent="0.2">
      <c r="A35" s="2">
        <v>2018</v>
      </c>
      <c r="B35" s="2">
        <v>1</v>
      </c>
      <c r="C35" s="2" t="str">
        <f t="shared" si="0"/>
        <v>2018 - Q1</v>
      </c>
      <c r="D35" s="2">
        <v>51042</v>
      </c>
      <c r="E35">
        <f t="shared" si="1"/>
        <v>1</v>
      </c>
      <c r="F35">
        <f t="shared" si="2"/>
        <v>0</v>
      </c>
      <c r="G35">
        <f t="shared" si="3"/>
        <v>0</v>
      </c>
      <c r="H35">
        <v>33</v>
      </c>
      <c r="I35">
        <f t="shared" si="4"/>
        <v>1089</v>
      </c>
      <c r="J35">
        <f t="shared" si="6"/>
        <v>35937</v>
      </c>
      <c r="K35">
        <f t="shared" si="5"/>
        <v>10.840404102203939</v>
      </c>
    </row>
    <row r="36" spans="1:46" x14ac:dyDescent="0.2">
      <c r="A36" s="2">
        <v>2018</v>
      </c>
      <c r="B36" s="2">
        <v>2</v>
      </c>
      <c r="C36" s="2" t="str">
        <f t="shared" si="0"/>
        <v>2018 - Q2</v>
      </c>
      <c r="D36" s="2">
        <v>52886</v>
      </c>
      <c r="E36">
        <f t="shared" si="1"/>
        <v>0</v>
      </c>
      <c r="F36">
        <f t="shared" si="2"/>
        <v>1</v>
      </c>
      <c r="G36">
        <f t="shared" si="3"/>
        <v>0</v>
      </c>
      <c r="H36">
        <v>34</v>
      </c>
      <c r="I36">
        <f t="shared" si="4"/>
        <v>1156</v>
      </c>
      <c r="J36">
        <f t="shared" si="6"/>
        <v>39304</v>
      </c>
      <c r="K36">
        <f t="shared" si="5"/>
        <v>10.875893932536771</v>
      </c>
    </row>
    <row r="37" spans="1:46" x14ac:dyDescent="0.2">
      <c r="A37" s="2">
        <v>2018</v>
      </c>
      <c r="B37" s="2">
        <v>3</v>
      </c>
      <c r="C37" s="2" t="str">
        <f t="shared" si="0"/>
        <v>2018 - Q3</v>
      </c>
      <c r="D37" s="2">
        <v>56576</v>
      </c>
      <c r="E37">
        <f t="shared" si="1"/>
        <v>0</v>
      </c>
      <c r="F37">
        <f t="shared" si="2"/>
        <v>0</v>
      </c>
      <c r="G37">
        <f t="shared" si="3"/>
        <v>1</v>
      </c>
      <c r="H37">
        <v>35</v>
      </c>
      <c r="I37">
        <f t="shared" si="4"/>
        <v>1225</v>
      </c>
      <c r="J37">
        <f t="shared" si="6"/>
        <v>42875</v>
      </c>
      <c r="K37">
        <f t="shared" si="5"/>
        <v>10.943340145997315</v>
      </c>
    </row>
    <row r="38" spans="1:46" x14ac:dyDescent="0.2">
      <c r="A38" s="2">
        <v>2018</v>
      </c>
      <c r="B38" s="2">
        <v>4</v>
      </c>
      <c r="C38" s="2" t="str">
        <f t="shared" si="0"/>
        <v>2018 - Q4</v>
      </c>
      <c r="D38" s="3">
        <v>72383</v>
      </c>
      <c r="E38">
        <f t="shared" si="1"/>
        <v>0</v>
      </c>
      <c r="F38">
        <f t="shared" si="2"/>
        <v>0</v>
      </c>
      <c r="G38">
        <f t="shared" si="3"/>
        <v>0</v>
      </c>
      <c r="H38">
        <v>36</v>
      </c>
      <c r="I38">
        <f t="shared" si="4"/>
        <v>1296</v>
      </c>
      <c r="J38">
        <f t="shared" si="6"/>
        <v>46656</v>
      </c>
      <c r="K38">
        <f t="shared" si="5"/>
        <v>11.18972674417258</v>
      </c>
    </row>
    <row r="39" spans="1:46" x14ac:dyDescent="0.2">
      <c r="A39" s="2"/>
      <c r="B39" s="2"/>
      <c r="C39" s="2"/>
      <c r="D39" s="3"/>
      <c r="N39" s="11" t="s">
        <v>40</v>
      </c>
      <c r="O39" s="11" t="s">
        <v>41</v>
      </c>
      <c r="P39" s="11" t="s">
        <v>42</v>
      </c>
      <c r="X39" s="11" t="s">
        <v>40</v>
      </c>
      <c r="Y39" s="11" t="s">
        <v>41</v>
      </c>
      <c r="Z39" s="11" t="s">
        <v>42</v>
      </c>
      <c r="AH39" s="11" t="s">
        <v>40</v>
      </c>
      <c r="AI39" s="11" t="s">
        <v>41</v>
      </c>
      <c r="AJ39" s="11" t="s">
        <v>42</v>
      </c>
      <c r="AR39" s="11" t="s">
        <v>40</v>
      </c>
      <c r="AS39" s="11" t="s">
        <v>41</v>
      </c>
      <c r="AT39" s="11" t="s">
        <v>42</v>
      </c>
    </row>
    <row r="40" spans="1:46" ht="24" x14ac:dyDescent="0.3">
      <c r="A40" s="51" t="s">
        <v>82</v>
      </c>
      <c r="M40" s="6" t="s">
        <v>37</v>
      </c>
      <c r="N40" s="6" t="s">
        <v>38</v>
      </c>
      <c r="O40" s="6" t="s">
        <v>39</v>
      </c>
      <c r="P40" s="15" t="s">
        <v>53</v>
      </c>
      <c r="W40" s="6" t="s">
        <v>37</v>
      </c>
      <c r="X40" s="6" t="s">
        <v>38</v>
      </c>
      <c r="Y40" s="6" t="s">
        <v>39</v>
      </c>
      <c r="Z40" s="15" t="s">
        <v>53</v>
      </c>
      <c r="AG40" s="6" t="s">
        <v>37</v>
      </c>
      <c r="AH40" s="6" t="s">
        <v>38</v>
      </c>
      <c r="AI40" s="6" t="s">
        <v>39</v>
      </c>
      <c r="AJ40" s="15" t="s">
        <v>53</v>
      </c>
      <c r="AQ40" s="6" t="s">
        <v>37</v>
      </c>
      <c r="AR40" s="6" t="s">
        <v>38</v>
      </c>
      <c r="AS40" s="6" t="s">
        <v>39</v>
      </c>
      <c r="AT40" s="15" t="s">
        <v>53</v>
      </c>
    </row>
    <row r="41" spans="1:46" x14ac:dyDescent="0.2">
      <c r="A41" s="4" t="s">
        <v>0</v>
      </c>
      <c r="B41" s="4" t="s">
        <v>1</v>
      </c>
      <c r="C41" s="4" t="s">
        <v>51</v>
      </c>
      <c r="D41" s="5" t="s">
        <v>2</v>
      </c>
      <c r="E41" s="6" t="s">
        <v>4</v>
      </c>
      <c r="F41" s="6" t="s">
        <v>5</v>
      </c>
      <c r="G41" s="6" t="s">
        <v>6</v>
      </c>
      <c r="H41" s="6" t="s">
        <v>7</v>
      </c>
      <c r="I41" s="6" t="s">
        <v>32</v>
      </c>
      <c r="J41" s="6" t="s">
        <v>33</v>
      </c>
      <c r="K41" s="6"/>
      <c r="M41" s="14">
        <f>$N$18+$N$19*E42+$N$20*F42+$N$21*G42+$N$22*H42</f>
        <v>51199.187500000015</v>
      </c>
      <c r="N41" s="14">
        <f>ABS(D42-M41)</f>
        <v>8500.8124999999854</v>
      </c>
      <c r="O41" s="13">
        <f>N41/D42</f>
        <v>0.14239216917922923</v>
      </c>
      <c r="P41" s="14">
        <f>N41^2</f>
        <v>72263813.160155997</v>
      </c>
      <c r="W41" s="17">
        <f>EXP($X$18+$X$19*E42+$X$20*F42+$X$21*G42+$X$22*H42+(($X$8)^2)/2)</f>
        <v>60390.071730985939</v>
      </c>
      <c r="X41" s="14">
        <f>ABS(D42-W41)</f>
        <v>690.07173098593921</v>
      </c>
      <c r="Y41" s="13">
        <f>X41/D42</f>
        <v>1.1558990468776202E-2</v>
      </c>
      <c r="Z41" s="14">
        <f>X41^2</f>
        <v>476198.99390593043</v>
      </c>
      <c r="AG41" s="14">
        <f>$AH$18+$AH$19*E42+$AH$20*F42+$AH$21*G42+$AH$22*H42+$AH$23*I42</f>
        <v>62109.294004505638</v>
      </c>
      <c r="AH41" s="14">
        <f>ABS(D42-AG41)</f>
        <v>2409.2940045056384</v>
      </c>
      <c r="AI41" s="13">
        <f>AH41/D42</f>
        <v>4.0356683492556757E-2</v>
      </c>
      <c r="AJ41" s="14">
        <f>AH41^2</f>
        <v>5804697.6001468152</v>
      </c>
      <c r="AQ41" s="14">
        <f>$AR$18+$AR$19*E42+$AR$20*F42+$AR$21*G42+$AR$22*H42+$AR$23*I42+$AR$24*J42</f>
        <v>67979.970549571211</v>
      </c>
      <c r="AR41" s="14">
        <f>ABS(D42-AQ41)</f>
        <v>8279.9705495712114</v>
      </c>
      <c r="AS41" s="13">
        <f>AR41/D42</f>
        <v>0.13869297402966854</v>
      </c>
      <c r="AT41" s="14">
        <f>AR41^2</f>
        <v>68557912.301766589</v>
      </c>
    </row>
    <row r="42" spans="1:46" x14ac:dyDescent="0.2">
      <c r="A42" s="1" t="s">
        <v>3</v>
      </c>
      <c r="B42" s="2">
        <v>1</v>
      </c>
      <c r="C42" s="2" t="str">
        <f t="shared" ref="C42:C49" si="7">_xlfn.CONCAT(A42, " - Q", B42)</f>
        <v>2019 - Q1</v>
      </c>
      <c r="D42" s="2">
        <v>59700</v>
      </c>
      <c r="E42">
        <f t="shared" ref="E42:E49" si="8">IF(B42=1,1,0)</f>
        <v>1</v>
      </c>
      <c r="F42">
        <f t="shared" ref="F42:F49" si="9">IF(B42=2,1,0)</f>
        <v>0</v>
      </c>
      <c r="G42">
        <f t="shared" ref="G42:G49" si="10">IF(B42=3,1,0)</f>
        <v>0</v>
      </c>
      <c r="H42">
        <v>37</v>
      </c>
      <c r="I42">
        <f t="shared" ref="I42:I49" si="11">H42^2</f>
        <v>1369</v>
      </c>
      <c r="J42">
        <f t="shared" ref="J42:J49" si="12">H42^3</f>
        <v>50653</v>
      </c>
      <c r="M42" s="14">
        <f>$N$18+$N$19*E43+$N$20*F43+$N$21*G43+$N$22*H43</f>
        <v>51665.965277777796</v>
      </c>
      <c r="N42" s="14">
        <f>ABS(D43-M42)</f>
        <v>11738.034722222204</v>
      </c>
      <c r="O42" s="13">
        <f>N42/D43</f>
        <v>0.18513082332695421</v>
      </c>
      <c r="P42" s="14">
        <f t="shared" ref="P42:P48" si="13">N42^2</f>
        <v>137781459.1400941</v>
      </c>
      <c r="W42" s="17">
        <f>EXP($X$18+$X$19*E43+$X$20*F43+$X$21*G43+$X$22*H43+(($X$8)^2)/2)</f>
        <v>60471.63377306574</v>
      </c>
      <c r="X42" s="14">
        <f>ABS(D43-W42)</f>
        <v>2932.3662269342603</v>
      </c>
      <c r="Y42" s="13">
        <f>X42/D43</f>
        <v>4.6248915319763113E-2</v>
      </c>
      <c r="Z42" s="14">
        <f t="shared" ref="Z42:Z47" si="14">X42^2</f>
        <v>8598771.6888646707</v>
      </c>
      <c r="AG42" s="14">
        <f>$AH$18+$AH$19*E43+$AH$20*F43+$AH$21*G43+$AH$22*H43+$AH$23*I43</f>
        <v>64446.375754484397</v>
      </c>
      <c r="AH42" s="14">
        <f>ABS(D43-AG42)</f>
        <v>1042.3757544843975</v>
      </c>
      <c r="AI42" s="13">
        <f>AH42/D43</f>
        <v>1.6440220719266884E-2</v>
      </c>
      <c r="AJ42" s="14">
        <f t="shared" ref="AJ42:AJ48" si="15">AH42^2</f>
        <v>1086547.213536917</v>
      </c>
      <c r="AQ42" s="14">
        <f>$AR$18+$AR$19*E43+$AR$20*F43+$AR$21*G43+$AR$22*H43+$AR$23*I43+$AR$24*J43</f>
        <v>71822.353977771898</v>
      </c>
      <c r="AR42" s="14">
        <f>ABS(D43-AQ42)</f>
        <v>8418.3539777718979</v>
      </c>
      <c r="AS42" s="13">
        <f>AR42/D43</f>
        <v>0.13277323162216734</v>
      </c>
      <c r="AT42" s="14">
        <f t="shared" ref="AT42:AT48" si="16">AR42^2</f>
        <v>70868683.695067942</v>
      </c>
    </row>
    <row r="43" spans="1:46" x14ac:dyDescent="0.2">
      <c r="A43" s="1" t="s">
        <v>3</v>
      </c>
      <c r="B43" s="2">
        <v>2</v>
      </c>
      <c r="C43" s="2" t="str">
        <f t="shared" si="7"/>
        <v>2019 - Q2</v>
      </c>
      <c r="D43" s="2">
        <v>63404</v>
      </c>
      <c r="E43">
        <f t="shared" si="8"/>
        <v>0</v>
      </c>
      <c r="F43">
        <f t="shared" si="9"/>
        <v>1</v>
      </c>
      <c r="G43">
        <f t="shared" si="10"/>
        <v>0</v>
      </c>
      <c r="H43">
        <v>38</v>
      </c>
      <c r="I43">
        <f t="shared" si="11"/>
        <v>1444</v>
      </c>
      <c r="J43">
        <f t="shared" si="12"/>
        <v>54872</v>
      </c>
      <c r="M43" s="14">
        <f>$N$18+$N$19*E44+$N$20*F44+$N$21*G44+$N$22*H44</f>
        <v>53834.520833333358</v>
      </c>
      <c r="N43" s="14">
        <f>ABS(D44-M43)</f>
        <v>16147.479166666642</v>
      </c>
      <c r="O43" s="13">
        <f>N43/D44</f>
        <v>0.23073760633686724</v>
      </c>
      <c r="P43" s="14">
        <f t="shared" si="13"/>
        <v>260741083.43793324</v>
      </c>
      <c r="W43" s="17">
        <f>EXP($X$18+$X$19*E44+$X$20*F44+$X$21*G44+$X$22*H44+(($X$8)^2)/2)</f>
        <v>66281.494237225605</v>
      </c>
      <c r="X43" s="14">
        <f>ABS(D44-W43)</f>
        <v>3700.5057627743954</v>
      </c>
      <c r="Y43" s="13">
        <f>X43/D44</f>
        <v>5.287796523069354E-2</v>
      </c>
      <c r="Z43" s="14">
        <f t="shared" si="14"/>
        <v>13693742.900326511</v>
      </c>
      <c r="AG43" s="14">
        <f>$AH$18+$AH$19*E44+$AH$20*F44+$AH$21*G44+$AH$22*H44+$AH$23*I44</f>
        <v>68485.235282240916</v>
      </c>
      <c r="AH43" s="14">
        <f>ABS(D44-AG43)</f>
        <v>1496.7647177590843</v>
      </c>
      <c r="AI43" s="13">
        <f>AH43/D44</f>
        <v>2.138785284443263E-2</v>
      </c>
      <c r="AJ43" s="14">
        <f t="shared" si="15"/>
        <v>2240304.6203284315</v>
      </c>
      <c r="AQ43" s="14">
        <f>$AR$18+$AR$19*E44+$AR$20*F44+$AR$21*G44+$AR$22*H44+$AR$23*I44+$AR$24*J44</f>
        <v>77604.194396101171</v>
      </c>
      <c r="AR43" s="14">
        <f>ABS(D44-AQ43)</f>
        <v>7622.1943961011712</v>
      </c>
      <c r="AS43" s="13">
        <f>AR43/D44</f>
        <v>0.10891649847248108</v>
      </c>
      <c r="AT43" s="14">
        <f t="shared" si="16"/>
        <v>58097847.411956094</v>
      </c>
    </row>
    <row r="44" spans="1:46" x14ac:dyDescent="0.2">
      <c r="A44" s="1" t="s">
        <v>3</v>
      </c>
      <c r="B44" s="2">
        <v>3</v>
      </c>
      <c r="C44" s="2" t="str">
        <f t="shared" si="7"/>
        <v>2019 - Q3</v>
      </c>
      <c r="D44" s="2">
        <v>69982</v>
      </c>
      <c r="E44">
        <f t="shared" si="8"/>
        <v>0</v>
      </c>
      <c r="F44">
        <f t="shared" si="9"/>
        <v>0</v>
      </c>
      <c r="G44">
        <f t="shared" si="10"/>
        <v>1</v>
      </c>
      <c r="H44">
        <v>39</v>
      </c>
      <c r="I44">
        <f t="shared" si="11"/>
        <v>1521</v>
      </c>
      <c r="J44">
        <f t="shared" si="12"/>
        <v>59319</v>
      </c>
      <c r="M44" s="14">
        <f>$N$18+$N$19*E45+$N$20*F45+$N$21*G45+$N$22*H45</f>
        <v>63899.298611111131</v>
      </c>
      <c r="N44" s="14">
        <f>ABS(D45-M44)</f>
        <v>23536.701388888869</v>
      </c>
      <c r="O44" s="13">
        <f>N44/D45</f>
        <v>0.26918776463800803</v>
      </c>
      <c r="P44" s="14">
        <f t="shared" si="13"/>
        <v>553976312.26972318</v>
      </c>
      <c r="W44" s="17">
        <f>EXP($X$18+$X$19*E45+$X$20*F45+$X$21*G45+$X$22*H45+(($X$8)^2)/2)</f>
        <v>96744.070501157839</v>
      </c>
      <c r="X44" s="14">
        <f>ABS(D45-W44)</f>
        <v>9308.0705011578393</v>
      </c>
      <c r="Y44" s="13">
        <f>X44/D45</f>
        <v>0.10645581340818243</v>
      </c>
      <c r="Z44" s="14">
        <f t="shared" si="14"/>
        <v>86640176.454524755</v>
      </c>
      <c r="AG44" s="14">
        <f>$AH$18+$AH$19*E45+$AH$20*F45+$AH$21*G45+$AH$22*H45+$AH$23*I45</f>
        <v>80420.317032219667</v>
      </c>
      <c r="AH44" s="14">
        <f>ABS(D45-AG44)</f>
        <v>7015.6829677803325</v>
      </c>
      <c r="AI44" s="13">
        <f>AH44/D45</f>
        <v>8.0237922226317912E-2</v>
      </c>
      <c r="AJ44" s="14">
        <f t="shared" si="15"/>
        <v>49219807.504403055</v>
      </c>
      <c r="AQ44" s="14">
        <f>$AR$18+$AR$19*E45+$AR$20*F45+$AR$21*G45+$AR$22*H45+$AR$23*I45+$AR$24*J45</f>
        <v>91519.936249003542</v>
      </c>
      <c r="AR44" s="14">
        <f>ABS(D45-AQ44)</f>
        <v>4083.9362490035419</v>
      </c>
      <c r="AS44" s="13">
        <f>AR44/D45</f>
        <v>4.6707720492743743E-2</v>
      </c>
      <c r="AT44" s="14">
        <f t="shared" si="16"/>
        <v>16678535.28592512</v>
      </c>
    </row>
    <row r="45" spans="1:46" x14ac:dyDescent="0.2">
      <c r="A45" s="2">
        <v>2019</v>
      </c>
      <c r="B45" s="2">
        <v>4</v>
      </c>
      <c r="C45" s="2" t="str">
        <f t="shared" si="7"/>
        <v>2019 - Q4</v>
      </c>
      <c r="D45" s="2">
        <v>87436</v>
      </c>
      <c r="E45">
        <f t="shared" si="8"/>
        <v>0</v>
      </c>
      <c r="F45">
        <f t="shared" si="9"/>
        <v>0</v>
      </c>
      <c r="G45">
        <f t="shared" si="10"/>
        <v>0</v>
      </c>
      <c r="H45">
        <v>40</v>
      </c>
      <c r="I45">
        <f t="shared" si="11"/>
        <v>1600</v>
      </c>
      <c r="J45">
        <f t="shared" si="12"/>
        <v>64000</v>
      </c>
      <c r="M45" s="14">
        <f>$N$18+$N$19*E46+$N$20*F46+$N$21*G46+$N$22*H46</f>
        <v>56892.69166666668</v>
      </c>
      <c r="N45" s="14">
        <f>ABS(D46-M45)</f>
        <v>18559.30833333332</v>
      </c>
      <c r="O45" s="13">
        <f>N45/D46</f>
        <v>0.2459750349007756</v>
      </c>
      <c r="P45" s="14">
        <f t="shared" si="13"/>
        <v>344447925.81173563</v>
      </c>
      <c r="W45" s="17">
        <f>EXP($X$18+$X$19*E46+$X$20*F46+$X$21*G46+$X$22*H46+(($X$8)^2)/2)</f>
        <v>75909.268293649788</v>
      </c>
      <c r="X45" s="14">
        <f>ABS(D46-W45)</f>
        <v>457.26829364978767</v>
      </c>
      <c r="Y45" s="13">
        <f>X45/D46</f>
        <v>6.0603866517758001E-3</v>
      </c>
      <c r="Z45" s="14">
        <f t="shared" si="14"/>
        <v>209094.29237738845</v>
      </c>
      <c r="AG45" s="14">
        <f>$AH$18+$AH$19*E46+$AH$20*F46+$AH$21*G46+$AH$22*H46+$AH$23*I46</f>
        <v>75471.044457196273</v>
      </c>
      <c r="AH45" s="14">
        <f>ABS(D46-AG45)</f>
        <v>19.04445719627256</v>
      </c>
      <c r="AI45" s="13">
        <f>AH45/D46</f>
        <v>2.5240493553878703E-4</v>
      </c>
      <c r="AJ45" s="14">
        <f t="shared" si="15"/>
        <v>362.69134990065771</v>
      </c>
      <c r="AQ45" s="14">
        <f>$AR$18+$AR$19*E46+$AR$20*F46+$AR$21*G46+$AR$22*H46+$AR$23*I46+$AR$24*J46</f>
        <v>89836.376051680592</v>
      </c>
      <c r="AR45" s="14">
        <f>ABS(D46-AQ45)</f>
        <v>14384.376051680592</v>
      </c>
      <c r="AS45" s="13">
        <f>AR45/D46</f>
        <v>0.19064274044002269</v>
      </c>
      <c r="AT45" s="14">
        <f t="shared" si="16"/>
        <v>206910274.39616215</v>
      </c>
    </row>
    <row r="46" spans="1:46" x14ac:dyDescent="0.2">
      <c r="A46" s="2">
        <v>2020</v>
      </c>
      <c r="B46" s="2">
        <v>1</v>
      </c>
      <c r="C46" s="2" t="str">
        <f t="shared" si="7"/>
        <v>2020 - Q1</v>
      </c>
      <c r="D46" s="2">
        <v>75452</v>
      </c>
      <c r="E46">
        <f t="shared" si="8"/>
        <v>1</v>
      </c>
      <c r="F46">
        <f t="shared" si="9"/>
        <v>0</v>
      </c>
      <c r="G46">
        <f t="shared" si="10"/>
        <v>0</v>
      </c>
      <c r="H46">
        <v>41</v>
      </c>
      <c r="I46">
        <f t="shared" si="11"/>
        <v>1681</v>
      </c>
      <c r="J46">
        <f t="shared" si="12"/>
        <v>68921</v>
      </c>
      <c r="M46" s="14">
        <f>$N$18+$N$19*E47+$N$20*F47+$N$21*G47+$N$22*H47</f>
        <v>57359.469444444469</v>
      </c>
      <c r="N46" s="14">
        <f>ABS(D47-M46)</f>
        <v>31552.530555555531</v>
      </c>
      <c r="O46" s="13">
        <f>N46/D47</f>
        <v>0.35487370158758696</v>
      </c>
      <c r="P46" s="14">
        <f t="shared" si="13"/>
        <v>995562184.45926547</v>
      </c>
      <c r="W46" s="17">
        <f>EXP($X$18+$X$19*E47+$X$20*F47+$X$21*G47+$X$22*H47+(($X$8)^2)/2)</f>
        <v>76011.790359899111</v>
      </c>
      <c r="X46" s="14">
        <f>ABS(D47-W46)</f>
        <v>12900.209640100889</v>
      </c>
      <c r="Y46" s="13">
        <f>X46/D47</f>
        <v>0.14508963514599704</v>
      </c>
      <c r="Z46" s="14">
        <f t="shared" si="14"/>
        <v>166415408.75855193</v>
      </c>
      <c r="AG46" s="14">
        <f>$AH$18+$AH$19*E47+$AH$20*F47+$AH$21*G47+$AH$22*H47+$AH$23*I47</f>
        <v>78182.187001615224</v>
      </c>
      <c r="AH46" s="14">
        <f>ABS(D47-AG46)</f>
        <v>10729.812998384776</v>
      </c>
      <c r="AI46" s="13">
        <f>AH46/D47</f>
        <v>0.12067901968671019</v>
      </c>
      <c r="AJ46" s="14">
        <f t="shared" si="15"/>
        <v>115128886.98030689</v>
      </c>
      <c r="AQ46" s="14">
        <f>$AR$18+$AR$19*E47+$AR$20*F47+$AR$21*G47+$AR$22*H47+$AR$23*I47+$AR$24*J47</f>
        <v>95051.072966194959</v>
      </c>
      <c r="AR46" s="14">
        <f>ABS(D47-AQ46)</f>
        <v>6139.072966194959</v>
      </c>
      <c r="AS46" s="13">
        <f>AR46/D47</f>
        <v>6.9046618748818595E-2</v>
      </c>
      <c r="AT46" s="14">
        <f t="shared" si="16"/>
        <v>37688216.884265773</v>
      </c>
    </row>
    <row r="47" spans="1:46" x14ac:dyDescent="0.2">
      <c r="A47" s="2">
        <v>2020</v>
      </c>
      <c r="B47" s="2">
        <v>2</v>
      </c>
      <c r="C47" s="2" t="str">
        <f t="shared" si="7"/>
        <v>2020 - Q2</v>
      </c>
      <c r="D47" s="2">
        <v>88912</v>
      </c>
      <c r="E47">
        <f t="shared" si="8"/>
        <v>0</v>
      </c>
      <c r="F47">
        <f t="shared" si="9"/>
        <v>1</v>
      </c>
      <c r="G47">
        <f t="shared" si="10"/>
        <v>0</v>
      </c>
      <c r="H47">
        <v>42</v>
      </c>
      <c r="I47">
        <f t="shared" si="11"/>
        <v>1764</v>
      </c>
      <c r="J47">
        <f t="shared" si="12"/>
        <v>74088</v>
      </c>
      <c r="M47" s="14">
        <f>$N$18+$N$19*E48+$N$20*F48+$N$21*G48+$N$22*H48</f>
        <v>59528.025000000023</v>
      </c>
      <c r="N47" s="14">
        <f>ABS(D48-M47)</f>
        <v>36616.974999999977</v>
      </c>
      <c r="O47" s="13">
        <f>N47/D48</f>
        <v>0.3808515783452075</v>
      </c>
      <c r="P47" s="14">
        <f t="shared" si="13"/>
        <v>1340802858.1506233</v>
      </c>
      <c r="W47" s="17">
        <f>EXP($X$18+$X$19*E48+$X$20*F48+$X$21*G48+$X$22*H48+(($X$8)^2)/2)</f>
        <v>83314.683767397757</v>
      </c>
      <c r="X47" s="14">
        <f>ABS(D48-W47)</f>
        <v>12830.316232602243</v>
      </c>
      <c r="Y47" s="13">
        <f>X47/D48</f>
        <v>0.13344756599513488</v>
      </c>
      <c r="Z47" s="14">
        <f t="shared" si="14"/>
        <v>164617014.62857661</v>
      </c>
      <c r="AG47" s="14">
        <f>$AH$18+$AH$19*E48+$AH$20*F48+$AH$21*G48+$AH$22*H48+$AH$23*I48</f>
        <v>82595.107323811942</v>
      </c>
      <c r="AH47" s="14">
        <f>ABS(D48-AG47)</f>
        <v>13549.892676188058</v>
      </c>
      <c r="AI47" s="13">
        <f>AH47/D48</f>
        <v>0.14093184956251556</v>
      </c>
      <c r="AJ47" s="14">
        <f t="shared" si="15"/>
        <v>183599591.53621477</v>
      </c>
      <c r="AQ47" s="14">
        <f>$AR$18+$AR$19*E48+$AR$20*F48+$AR$21*G48+$AR$22*H48+$AR$23*I48+$AR$24*J48</f>
        <v>102252.7627133081</v>
      </c>
      <c r="AR47" s="14">
        <f>ABS(D48-AQ47)</f>
        <v>6107.7627133080969</v>
      </c>
      <c r="AS47" s="13">
        <f>AR47/D48</f>
        <v>6.3526576663457249E-2</v>
      </c>
      <c r="AT47" s="14">
        <f t="shared" si="16"/>
        <v>37304765.362076685</v>
      </c>
    </row>
    <row r="48" spans="1:46" x14ac:dyDescent="0.2">
      <c r="A48" s="2">
        <v>2020</v>
      </c>
      <c r="B48" s="2">
        <v>3</v>
      </c>
      <c r="C48" s="2" t="str">
        <f t="shared" si="7"/>
        <v>2020 - Q3</v>
      </c>
      <c r="D48" s="2">
        <v>96145</v>
      </c>
      <c r="E48">
        <f t="shared" si="8"/>
        <v>0</v>
      </c>
      <c r="F48">
        <f t="shared" si="9"/>
        <v>0</v>
      </c>
      <c r="G48">
        <f t="shared" si="10"/>
        <v>1</v>
      </c>
      <c r="H48">
        <v>43</v>
      </c>
      <c r="I48">
        <f t="shared" si="11"/>
        <v>1849</v>
      </c>
      <c r="J48">
        <f t="shared" si="12"/>
        <v>79507</v>
      </c>
      <c r="M48" s="14">
        <f>$N$18+$N$19*E49+$N$20*F49+$N$21*G49+$N$22*H49</f>
        <v>69592.802777777804</v>
      </c>
      <c r="N48" s="14">
        <f>ABS(D49-M48)</f>
        <v>55962.197222222196</v>
      </c>
      <c r="O48" s="13">
        <f>N48/D49</f>
        <v>0.44571858725038588</v>
      </c>
      <c r="P48" s="14">
        <f t="shared" si="13"/>
        <v>3131767517.9388938</v>
      </c>
      <c r="W48" s="17">
        <f>EXP($X$18+$X$19*E49+$X$20*F49+$X$21*G49+$X$22*H49+(($X$8)^2)/2)</f>
        <v>121605.61153505131</v>
      </c>
      <c r="X48" s="14">
        <f>ABS(D49-W48)</f>
        <v>3949.3884649486863</v>
      </c>
      <c r="Y48" s="13">
        <f>X48/D49</f>
        <v>3.145544554138574E-2</v>
      </c>
      <c r="Z48" s="14">
        <f t="shared" ref="Z48" si="17">X48^2</f>
        <v>15597669.247069741</v>
      </c>
      <c r="AG48" s="14">
        <f>$AH$18+$AH$19*E49+$AH$20*F49+$AH$21*G49+$AH$22*H49+$AH$23*I49</f>
        <v>94904.249868230865</v>
      </c>
      <c r="AH48" s="14">
        <f>ABS(D49-AG48)</f>
        <v>30650.750131769135</v>
      </c>
      <c r="AI48" s="13">
        <f>AH48/D49</f>
        <v>0.24412209893488221</v>
      </c>
      <c r="AJ48" s="14">
        <f t="shared" si="15"/>
        <v>939468483.64014566</v>
      </c>
      <c r="AQ48" s="14">
        <f>$AR$18+$AR$19*E49+$AR$20*F49+$AR$21*G49+$AR$22*H49+$AR$23*I49+$AR$24*J49</f>
        <v>117635.88973746447</v>
      </c>
      <c r="AR48" s="14">
        <f>ABS(D49-AQ48)</f>
        <v>7919.110262535527</v>
      </c>
      <c r="AS48" s="13">
        <f>AR48/D49</f>
        <v>6.3072838696471886E-2</v>
      </c>
      <c r="AT48" s="14">
        <f t="shared" si="16"/>
        <v>62712307.350195505</v>
      </c>
    </row>
    <row r="49" spans="1:46" x14ac:dyDescent="0.2">
      <c r="A49" s="2">
        <v>2020</v>
      </c>
      <c r="B49" s="2">
        <v>4</v>
      </c>
      <c r="C49" s="2" t="str">
        <f t="shared" si="7"/>
        <v>2020 - Q4</v>
      </c>
      <c r="D49" s="2">
        <v>125555</v>
      </c>
      <c r="E49">
        <f t="shared" si="8"/>
        <v>0</v>
      </c>
      <c r="F49">
        <f t="shared" si="9"/>
        <v>0</v>
      </c>
      <c r="G49">
        <f t="shared" si="10"/>
        <v>0</v>
      </c>
      <c r="H49">
        <v>44</v>
      </c>
      <c r="I49">
        <f t="shared" si="11"/>
        <v>1936</v>
      </c>
      <c r="J49">
        <f t="shared" si="12"/>
        <v>85184</v>
      </c>
      <c r="M49" s="14"/>
      <c r="N49" s="15">
        <f>AVERAGE(N41:N48)</f>
        <v>25326.754861111091</v>
      </c>
      <c r="O49" s="16">
        <f t="shared" ref="O49:P49" si="18">AVERAGE(O41:O48)</f>
        <v>0.28185840819562685</v>
      </c>
      <c r="P49" s="15">
        <f t="shared" si="18"/>
        <v>854667894.29605317</v>
      </c>
      <c r="X49" s="15">
        <f>AVERAGE(X41:X48)</f>
        <v>5846.0246066442551</v>
      </c>
      <c r="Y49" s="16">
        <f t="shared" ref="Y49" si="19">AVERAGE(Y41:Y48)</f>
        <v>6.6649339720213585E-2</v>
      </c>
      <c r="Z49" s="15">
        <f t="shared" ref="Z49" si="20">AVERAGE(Z41:Z48)</f>
        <v>57031009.62052469</v>
      </c>
      <c r="AG49" s="14"/>
      <c r="AH49" s="15">
        <f>AVERAGE(AH41:AH48)</f>
        <v>8364.2022135084626</v>
      </c>
      <c r="AI49" s="16">
        <f t="shared" ref="AI49" si="21">AVERAGE(AI41:AI48)</f>
        <v>8.3051006550277626E-2</v>
      </c>
      <c r="AJ49" s="15">
        <f t="shared" ref="AJ49" si="22">AVERAGE(AJ41:AJ48)</f>
        <v>162068585.22330406</v>
      </c>
      <c r="AQ49" s="14"/>
      <c r="AR49" s="15">
        <f>AVERAGE(AR41:AR48)</f>
        <v>7869.3471457708747</v>
      </c>
      <c r="AS49" s="16">
        <f t="shared" ref="AS49" si="23">AVERAGE(AS41:AS48)</f>
        <v>0.10167239989572889</v>
      </c>
      <c r="AT49" s="15">
        <f t="shared" ref="AT49" si="24">AVERAGE(AT41:AT48)</f>
        <v>69852317.83592698</v>
      </c>
    </row>
  </sheetData>
  <mergeCells count="4">
    <mergeCell ref="M1:U1"/>
    <mergeCell ref="AG1:AO1"/>
    <mergeCell ref="AQ1:AY1"/>
    <mergeCell ref="W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057C-871E-154D-9D32-7C367C9777AF}">
  <dimension ref="A1:P51"/>
  <sheetViews>
    <sheetView topLeftCell="A17" zoomScale="140" zoomScaleNormal="140" workbookViewId="0">
      <selection activeCell="H49" sqref="H49"/>
    </sheetView>
  </sheetViews>
  <sheetFormatPr baseColWidth="10" defaultRowHeight="15" x14ac:dyDescent="0.2"/>
  <cols>
    <col min="1" max="1" width="9" customWidth="1"/>
    <col min="2" max="2" width="7.83203125" customWidth="1"/>
    <col min="3" max="3" width="8.5" bestFit="1" customWidth="1"/>
    <col min="4" max="4" width="11" bestFit="1" customWidth="1"/>
    <col min="5" max="5" width="11.6640625" style="36" bestFit="1" customWidth="1"/>
    <col min="6" max="6" width="9.83203125" style="36" bestFit="1" customWidth="1"/>
    <col min="7" max="7" width="12.5" style="36" bestFit="1" customWidth="1"/>
    <col min="8" max="8" width="14.1640625" style="32" bestFit="1" customWidth="1"/>
    <col min="9" max="9" width="11.83203125" style="35" bestFit="1" customWidth="1"/>
    <col min="10" max="10" width="14.83203125" style="35" bestFit="1" customWidth="1"/>
    <col min="11" max="11" width="14.6640625" style="35" bestFit="1" customWidth="1"/>
    <col min="12" max="12" width="8.1640625" style="32" customWidth="1"/>
    <col min="13" max="13" width="12.83203125" customWidth="1"/>
    <col min="14" max="14" width="18.5" customWidth="1"/>
    <col min="15" max="15" width="16.83203125" customWidth="1"/>
    <col min="16" max="16" width="13.6640625" bestFit="1" customWidth="1"/>
  </cols>
  <sheetData>
    <row r="1" spans="1:16" x14ac:dyDescent="0.2">
      <c r="A1" s="4" t="s">
        <v>0</v>
      </c>
      <c r="B1" s="4" t="s">
        <v>1</v>
      </c>
      <c r="C1" s="4" t="s">
        <v>51</v>
      </c>
      <c r="D1" s="5" t="s">
        <v>2</v>
      </c>
      <c r="E1" s="31" t="s">
        <v>66</v>
      </c>
      <c r="F1" s="31" t="s">
        <v>67</v>
      </c>
      <c r="G1" s="31" t="s">
        <v>68</v>
      </c>
      <c r="H1" s="31" t="s">
        <v>46</v>
      </c>
      <c r="I1" s="15" t="s">
        <v>38</v>
      </c>
      <c r="J1" s="15" t="s">
        <v>39</v>
      </c>
      <c r="K1" s="15" t="s">
        <v>53</v>
      </c>
      <c r="L1" s="11"/>
    </row>
    <row r="2" spans="1:16" x14ac:dyDescent="0.2">
      <c r="A2" s="2">
        <v>2010</v>
      </c>
      <c r="B2" s="2">
        <v>1</v>
      </c>
      <c r="C2" s="2" t="str">
        <f>_xlfn.CONCAT(A2, " - Q", B2)</f>
        <v>2010 - Q1</v>
      </c>
      <c r="D2" s="34">
        <v>7131</v>
      </c>
      <c r="G2" s="36">
        <f>D2/AVERAGE($D$2:$D$5)</f>
        <v>0.83393755116360657</v>
      </c>
      <c r="M2" s="15" t="s">
        <v>84</v>
      </c>
    </row>
    <row r="3" spans="1:16" x14ac:dyDescent="0.2">
      <c r="A3" s="2">
        <v>2010</v>
      </c>
      <c r="B3" s="2">
        <v>2</v>
      </c>
      <c r="C3" s="2" t="str">
        <f t="shared" ref="C3:C49" si="0">_xlfn.CONCAT(A3, " - Q", B3)</f>
        <v>2010 - Q2</v>
      </c>
      <c r="D3" s="34">
        <v>6566</v>
      </c>
      <c r="G3" s="36">
        <f t="shared" ref="G3:G5" si="1">D3/AVERAGE($D$2:$D$5)</f>
        <v>0.76786340778856277</v>
      </c>
      <c r="M3" s="20" t="s">
        <v>47</v>
      </c>
      <c r="N3" s="37">
        <v>0.53644408928208187</v>
      </c>
      <c r="P3" s="62"/>
    </row>
    <row r="4" spans="1:16" x14ac:dyDescent="0.2">
      <c r="A4" s="2">
        <v>2010</v>
      </c>
      <c r="B4" s="2">
        <v>3</v>
      </c>
      <c r="C4" s="2" t="str">
        <f t="shared" si="0"/>
        <v>2010 - Q3</v>
      </c>
      <c r="D4" s="34">
        <v>7560</v>
      </c>
      <c r="G4" s="36">
        <f t="shared" si="1"/>
        <v>0.88410712197403818</v>
      </c>
      <c r="M4" s="20" t="s">
        <v>48</v>
      </c>
      <c r="N4" s="37">
        <v>0.64501763711136417</v>
      </c>
      <c r="P4" s="62"/>
    </row>
    <row r="5" spans="1:16" x14ac:dyDescent="0.2">
      <c r="A5" s="2">
        <v>2010</v>
      </c>
      <c r="B5" s="2">
        <v>4</v>
      </c>
      <c r="C5" s="2" t="str">
        <f t="shared" si="0"/>
        <v>2010 - Q4</v>
      </c>
      <c r="D5" s="34">
        <v>12947</v>
      </c>
      <c r="G5" s="36">
        <f t="shared" si="1"/>
        <v>1.5140919190737925</v>
      </c>
      <c r="M5" s="20" t="s">
        <v>49</v>
      </c>
      <c r="N5" s="37">
        <v>1</v>
      </c>
      <c r="P5" s="62"/>
    </row>
    <row r="6" spans="1:16" x14ac:dyDescent="0.2">
      <c r="A6" s="2">
        <v>2011</v>
      </c>
      <c r="B6" s="2">
        <v>1</v>
      </c>
      <c r="C6" s="2" t="str">
        <f t="shared" si="0"/>
        <v>2011 - Q1</v>
      </c>
      <c r="D6" s="34">
        <v>9857</v>
      </c>
      <c r="E6" s="36">
        <f>D6/G2</f>
        <v>11819.829897630067</v>
      </c>
      <c r="F6" s="36">
        <f>E6-D5/G5</f>
        <v>3268.8298976300666</v>
      </c>
      <c r="G6" s="36">
        <f>$N$5*D6/E6+(1-$N$5)*G2</f>
        <v>0.83393755116360657</v>
      </c>
      <c r="M6" s="20" t="s">
        <v>50</v>
      </c>
      <c r="N6" s="37">
        <f>SQRT(SUMSQ(I7:I45)/COUNT(I7:I45))</f>
        <v>2837.0415418136304</v>
      </c>
      <c r="P6" s="62"/>
    </row>
    <row r="7" spans="1:16" x14ac:dyDescent="0.2">
      <c r="A7" s="2">
        <v>2011</v>
      </c>
      <c r="B7" s="2">
        <v>2</v>
      </c>
      <c r="C7" s="2" t="str">
        <f t="shared" si="0"/>
        <v>2011 - Q2</v>
      </c>
      <c r="D7" s="34">
        <v>9913</v>
      </c>
      <c r="E7" s="36">
        <f>$N$3*D7/G3+(1-$N$3)*(E6+F6)</f>
        <v>13919.849170349449</v>
      </c>
      <c r="F7" s="36">
        <f>$N$4*(E7-E6)+(1-$N$4)*F6</f>
        <v>2514.9264301195203</v>
      </c>
      <c r="G7" s="36">
        <f t="shared" ref="G7:G45" si="2">$N$5*D7/E7+(1-$N$5)*G3</f>
        <v>0.7121485210569376</v>
      </c>
      <c r="H7" s="32">
        <f>(E6+F6)*G3</f>
        <v>11586.029729350723</v>
      </c>
      <c r="I7" s="35">
        <f>ABS(D7-H7)</f>
        <v>1673.0297293507228</v>
      </c>
      <c r="J7" s="13">
        <f>I7/D7</f>
        <v>0.16877128309802511</v>
      </c>
      <c r="K7" s="35">
        <f>I7^2</f>
        <v>2799028.4752913527</v>
      </c>
      <c r="L7" s="35"/>
    </row>
    <row r="8" spans="1:16" x14ac:dyDescent="0.2">
      <c r="A8" s="2">
        <v>2011</v>
      </c>
      <c r="B8" s="2">
        <v>3</v>
      </c>
      <c r="C8" s="2" t="str">
        <f t="shared" si="0"/>
        <v>2011 - Q3</v>
      </c>
      <c r="D8" s="34">
        <v>10876</v>
      </c>
      <c r="E8" s="36">
        <f t="shared" ref="E8:E45" si="3">$N$3*D8/G4+(1-$N$3)*(E7+F7)</f>
        <v>14217.599135395934</v>
      </c>
      <c r="F8" s="36">
        <f t="shared" ref="F8:F45" si="4">$N$4*(E8-E7)+(1-$N$4)*F7</f>
        <v>1084.8085055591841</v>
      </c>
      <c r="G8" s="36">
        <f t="shared" si="2"/>
        <v>0.76496741091280762</v>
      </c>
      <c r="H8" s="32">
        <f t="shared" ref="H8:H46" si="5">(E7+F7)*G4</f>
        <v>14530.102156419765</v>
      </c>
      <c r="I8" s="35">
        <f t="shared" ref="I8:I45" si="6">ABS(D8-H8)</f>
        <v>3654.1021564197654</v>
      </c>
      <c r="J8" s="13">
        <f t="shared" ref="J8:J45" si="7">I8/D8</f>
        <v>0.33597849911913991</v>
      </c>
      <c r="K8" s="35">
        <f t="shared" ref="K8:K45" si="8">I8^2</f>
        <v>13352462.56955158</v>
      </c>
      <c r="L8" s="35"/>
    </row>
    <row r="9" spans="1:16" x14ac:dyDescent="0.2">
      <c r="A9" s="2">
        <v>2011</v>
      </c>
      <c r="B9" s="2">
        <v>4</v>
      </c>
      <c r="C9" s="2" t="str">
        <f t="shared" si="0"/>
        <v>2011 - Q4</v>
      </c>
      <c r="D9" s="34">
        <v>17431</v>
      </c>
      <c r="E9" s="36">
        <f t="shared" si="3"/>
        <v>13269.340033797591</v>
      </c>
      <c r="F9" s="36">
        <f t="shared" si="4"/>
        <v>-226.55595849721954</v>
      </c>
      <c r="G9" s="36">
        <f t="shared" si="2"/>
        <v>1.3136297627163429</v>
      </c>
      <c r="H9" s="32">
        <f t="shared" si="5"/>
        <v>23169.251751543201</v>
      </c>
      <c r="I9" s="35">
        <f t="shared" si="6"/>
        <v>5738.251751543201</v>
      </c>
      <c r="J9" s="13">
        <f t="shared" si="7"/>
        <v>0.32919808109363785</v>
      </c>
      <c r="K9" s="35">
        <f t="shared" si="8"/>
        <v>32927533.164088614</v>
      </c>
      <c r="L9" s="35"/>
    </row>
    <row r="10" spans="1:16" x14ac:dyDescent="0.2">
      <c r="A10" s="2">
        <v>2012</v>
      </c>
      <c r="B10" s="2">
        <v>1</v>
      </c>
      <c r="C10" s="2" t="str">
        <f t="shared" si="0"/>
        <v>2012 - Q1</v>
      </c>
      <c r="D10" s="34">
        <v>13185</v>
      </c>
      <c r="E10" s="36">
        <f t="shared" si="3"/>
        <v>14527.528445336698</v>
      </c>
      <c r="F10" s="36">
        <f t="shared" si="4"/>
        <v>731.13034677801306</v>
      </c>
      <c r="G10" s="36">
        <f t="shared" si="2"/>
        <v>0.90758727815345308</v>
      </c>
      <c r="H10" s="32">
        <f t="shared" si="5"/>
        <v>10876.867412111676</v>
      </c>
      <c r="I10" s="35">
        <f t="shared" si="6"/>
        <v>2308.1325878883235</v>
      </c>
      <c r="J10" s="13">
        <f t="shared" si="7"/>
        <v>0.17505745831538291</v>
      </c>
      <c r="K10" s="35">
        <f t="shared" si="8"/>
        <v>5327476.0432720492</v>
      </c>
      <c r="L10" s="35"/>
    </row>
    <row r="11" spans="1:16" x14ac:dyDescent="0.2">
      <c r="A11" s="2">
        <v>2012</v>
      </c>
      <c r="B11" s="2">
        <v>2</v>
      </c>
      <c r="C11" s="2" t="str">
        <f t="shared" si="0"/>
        <v>2012 - Q2</v>
      </c>
      <c r="D11" s="34">
        <v>12834</v>
      </c>
      <c r="E11" s="36">
        <f t="shared" si="3"/>
        <v>16740.780249073923</v>
      </c>
      <c r="F11" s="36">
        <f t="shared" si="4"/>
        <v>1687.1248268578961</v>
      </c>
      <c r="G11" s="36">
        <f t="shared" si="2"/>
        <v>0.76663093410535388</v>
      </c>
      <c r="H11" s="32">
        <f t="shared" si="5"/>
        <v>10866.431292116929</v>
      </c>
      <c r="I11" s="35">
        <f t="shared" si="6"/>
        <v>1967.5687078830706</v>
      </c>
      <c r="J11" s="13">
        <f t="shared" si="7"/>
        <v>0.15330907806475538</v>
      </c>
      <c r="K11" s="35">
        <f t="shared" si="8"/>
        <v>3871326.6202406562</v>
      </c>
      <c r="L11" s="35"/>
    </row>
    <row r="12" spans="1:16" x14ac:dyDescent="0.2">
      <c r="A12" s="2">
        <v>2012</v>
      </c>
      <c r="B12" s="2">
        <v>3</v>
      </c>
      <c r="C12" s="2" t="str">
        <f t="shared" si="0"/>
        <v>2012 - Q3</v>
      </c>
      <c r="D12" s="34">
        <v>13806</v>
      </c>
      <c r="E12" s="36">
        <f t="shared" si="3"/>
        <v>18224.014794319002</v>
      </c>
      <c r="F12" s="36">
        <f t="shared" si="4"/>
        <v>1555.6119991820262</v>
      </c>
      <c r="G12" s="36">
        <f t="shared" si="2"/>
        <v>0.75757181695790565</v>
      </c>
      <c r="H12" s="32">
        <f t="shared" si="5"/>
        <v>14096.74683448255</v>
      </c>
      <c r="I12" s="35">
        <f t="shared" si="6"/>
        <v>290.74683448255018</v>
      </c>
      <c r="J12" s="13">
        <f t="shared" si="7"/>
        <v>2.1059454909644372E-2</v>
      </c>
      <c r="K12" s="35">
        <f t="shared" si="8"/>
        <v>84533.721761623427</v>
      </c>
      <c r="L12" s="35"/>
    </row>
    <row r="13" spans="1:16" x14ac:dyDescent="0.2">
      <c r="A13" s="2">
        <v>2012</v>
      </c>
      <c r="B13" s="2">
        <v>4</v>
      </c>
      <c r="C13" s="2" t="str">
        <f t="shared" si="0"/>
        <v>2012 - Q4</v>
      </c>
      <c r="D13" s="34">
        <v>21268</v>
      </c>
      <c r="E13" s="36">
        <f t="shared" si="3"/>
        <v>17854.129170076278</v>
      </c>
      <c r="F13" s="36">
        <f t="shared" si="4"/>
        <v>313.63207185704618</v>
      </c>
      <c r="G13" s="36">
        <f t="shared" si="2"/>
        <v>1.1912090361508871</v>
      </c>
      <c r="H13" s="32">
        <f t="shared" si="5"/>
        <v>25983.106451364576</v>
      </c>
      <c r="I13" s="35">
        <f t="shared" si="6"/>
        <v>4715.1064513645761</v>
      </c>
      <c r="J13" s="13">
        <f t="shared" si="7"/>
        <v>0.22169956984035058</v>
      </c>
      <c r="K13" s="35">
        <f t="shared" si="8"/>
        <v>22232228.847699847</v>
      </c>
      <c r="L13" s="35"/>
    </row>
    <row r="14" spans="1:16" x14ac:dyDescent="0.2">
      <c r="A14" s="2">
        <v>2013</v>
      </c>
      <c r="B14" s="2">
        <v>1</v>
      </c>
      <c r="C14" s="2" t="str">
        <f t="shared" si="0"/>
        <v>2013 - Q1</v>
      </c>
      <c r="D14" s="34">
        <v>16070</v>
      </c>
      <c r="E14" s="36">
        <f t="shared" si="3"/>
        <v>17920.205625138227</v>
      </c>
      <c r="F14" s="36">
        <f t="shared" si="4"/>
        <v>153.95433285822671</v>
      </c>
      <c r="G14" s="36">
        <f t="shared" si="2"/>
        <v>0.8967531029586634</v>
      </c>
      <c r="H14" s="32">
        <f t="shared" si="5"/>
        <v>16488.828975708064</v>
      </c>
      <c r="I14" s="35">
        <f t="shared" si="6"/>
        <v>418.82897570806381</v>
      </c>
      <c r="J14" s="13">
        <f t="shared" si="7"/>
        <v>2.6062786291727678E-2</v>
      </c>
      <c r="K14" s="35">
        <f t="shared" si="8"/>
        <v>175417.7108926659</v>
      </c>
      <c r="L14" s="35"/>
    </row>
    <row r="15" spans="1:16" x14ac:dyDescent="0.2">
      <c r="A15" s="2">
        <v>2013</v>
      </c>
      <c r="B15" s="2">
        <v>2</v>
      </c>
      <c r="C15" s="2" t="str">
        <f t="shared" si="0"/>
        <v>2013 - Q2</v>
      </c>
      <c r="D15" s="34">
        <v>15704</v>
      </c>
      <c r="E15" s="36">
        <f t="shared" si="3"/>
        <v>19367.136681150616</v>
      </c>
      <c r="F15" s="36">
        <f t="shared" si="4"/>
        <v>987.9471236671186</v>
      </c>
      <c r="G15" s="36">
        <f t="shared" si="2"/>
        <v>0.81085811798313878</v>
      </c>
      <c r="H15" s="32">
        <f t="shared" si="5"/>
        <v>13856.210131768405</v>
      </c>
      <c r="I15" s="35">
        <f t="shared" si="6"/>
        <v>1847.7898682315954</v>
      </c>
      <c r="J15" s="13">
        <f t="shared" si="7"/>
        <v>0.11766364418183872</v>
      </c>
      <c r="K15" s="35">
        <f t="shared" si="8"/>
        <v>3414327.3971393364</v>
      </c>
      <c r="L15" s="35"/>
    </row>
    <row r="16" spans="1:16" x14ac:dyDescent="0.2">
      <c r="A16" s="2">
        <v>2013</v>
      </c>
      <c r="B16" s="2">
        <v>3</v>
      </c>
      <c r="C16" s="2" t="str">
        <f t="shared" si="0"/>
        <v>2013 - Q3</v>
      </c>
      <c r="D16" s="34">
        <v>17091</v>
      </c>
      <c r="E16" s="36">
        <f t="shared" si="3"/>
        <v>21538.025389919458</v>
      </c>
      <c r="F16" s="36">
        <f t="shared" si="4"/>
        <v>1750.9653097302039</v>
      </c>
      <c r="G16" s="36">
        <f t="shared" si="2"/>
        <v>0.79352678300765589</v>
      </c>
      <c r="H16" s="32">
        <f t="shared" si="5"/>
        <v>15420.437822346212</v>
      </c>
      <c r="I16" s="35">
        <f t="shared" si="6"/>
        <v>1670.5621776537882</v>
      </c>
      <c r="J16" s="13">
        <f t="shared" si="7"/>
        <v>9.7745139409852452E-2</v>
      </c>
      <c r="K16" s="35">
        <f t="shared" si="8"/>
        <v>2790777.9894073671</v>
      </c>
      <c r="L16" s="35"/>
    </row>
    <row r="17" spans="1:15" x14ac:dyDescent="0.2">
      <c r="A17" s="2">
        <v>2013</v>
      </c>
      <c r="B17" s="2">
        <v>4</v>
      </c>
      <c r="C17" s="2" t="str">
        <f t="shared" si="0"/>
        <v>2013 - Q4</v>
      </c>
      <c r="D17" s="34">
        <v>25587</v>
      </c>
      <c r="E17" s="36">
        <f t="shared" si="3"/>
        <v>22318.491730701309</v>
      </c>
      <c r="F17" s="36">
        <f t="shared" si="4"/>
        <v>1124.9763579601226</v>
      </c>
      <c r="G17" s="36">
        <f t="shared" si="2"/>
        <v>1.1464484387537053</v>
      </c>
      <c r="H17" s="32">
        <f t="shared" si="5"/>
        <v>27742.056164256646</v>
      </c>
      <c r="I17" s="35">
        <f t="shared" si="6"/>
        <v>2155.0561642566463</v>
      </c>
      <c r="J17" s="13">
        <f t="shared" si="7"/>
        <v>8.4224651747240642E-2</v>
      </c>
      <c r="K17" s="35">
        <f t="shared" si="8"/>
        <v>4644267.0711005693</v>
      </c>
      <c r="L17" s="35"/>
    </row>
    <row r="18" spans="1:15" x14ac:dyDescent="0.2">
      <c r="A18" s="2">
        <v>2014</v>
      </c>
      <c r="B18" s="2">
        <v>1</v>
      </c>
      <c r="C18" s="2" t="str">
        <f t="shared" si="0"/>
        <v>2014 - Q1</v>
      </c>
      <c r="D18" s="34">
        <v>19741</v>
      </c>
      <c r="E18" s="36">
        <f t="shared" si="3"/>
        <v>22676.56491674365</v>
      </c>
      <c r="F18" s="36">
        <f t="shared" si="4"/>
        <v>630.31028611650436</v>
      </c>
      <c r="G18" s="36">
        <f t="shared" si="2"/>
        <v>0.87054631389183101</v>
      </c>
      <c r="H18" s="32">
        <f t="shared" si="5"/>
        <v>21023.002752619544</v>
      </c>
      <c r="I18" s="35">
        <f t="shared" si="6"/>
        <v>1282.0027526195445</v>
      </c>
      <c r="J18" s="13">
        <f t="shared" si="7"/>
        <v>6.4941125202347627E-2</v>
      </c>
      <c r="K18" s="35">
        <f t="shared" si="8"/>
        <v>1643531.0577240889</v>
      </c>
      <c r="L18" s="35"/>
    </row>
    <row r="19" spans="1:15" x14ac:dyDescent="0.2">
      <c r="A19" s="2">
        <v>2014</v>
      </c>
      <c r="B19" s="2">
        <v>2</v>
      </c>
      <c r="C19" s="2" t="str">
        <f t="shared" si="0"/>
        <v>2014 - Q2</v>
      </c>
      <c r="D19" s="34">
        <v>19340</v>
      </c>
      <c r="E19" s="36">
        <f t="shared" si="3"/>
        <v>23598.915284029506</v>
      </c>
      <c r="F19" s="36">
        <f t="shared" si="4"/>
        <v>818.6812892141711</v>
      </c>
      <c r="G19" s="36">
        <f t="shared" si="2"/>
        <v>0.81952919306796634</v>
      </c>
      <c r="H19" s="32">
        <f t="shared" si="5"/>
        <v>18898.568963059068</v>
      </c>
      <c r="I19" s="35">
        <f t="shared" si="6"/>
        <v>441.43103694093224</v>
      </c>
      <c r="J19" s="13">
        <f t="shared" si="7"/>
        <v>2.2824769231692462E-2</v>
      </c>
      <c r="K19" s="35">
        <f t="shared" si="8"/>
        <v>194861.3603747467</v>
      </c>
      <c r="L19" s="35"/>
    </row>
    <row r="20" spans="1:15" x14ac:dyDescent="0.2">
      <c r="A20" s="2">
        <v>2014</v>
      </c>
      <c r="B20" s="2">
        <v>3</v>
      </c>
      <c r="C20" s="2" t="str">
        <f t="shared" si="0"/>
        <v>2014 - Q3</v>
      </c>
      <c r="D20" s="34">
        <v>20578</v>
      </c>
      <c r="E20" s="36">
        <f t="shared" si="3"/>
        <v>25230.167447969357</v>
      </c>
      <c r="F20" s="36">
        <f t="shared" si="4"/>
        <v>1342.8038348152436</v>
      </c>
      <c r="G20" s="36">
        <f t="shared" si="2"/>
        <v>0.81561091667095587</v>
      </c>
      <c r="H20" s="32">
        <f t="shared" si="5"/>
        <v>19376.016857544819</v>
      </c>
      <c r="I20" s="35">
        <f t="shared" si="6"/>
        <v>1201.9831424551812</v>
      </c>
      <c r="J20" s="13">
        <f t="shared" si="7"/>
        <v>5.8411076997530433E-2</v>
      </c>
      <c r="K20" s="35">
        <f t="shared" si="8"/>
        <v>1444763.4747464324</v>
      </c>
      <c r="L20" s="35"/>
    </row>
    <row r="21" spans="1:15" x14ac:dyDescent="0.2">
      <c r="A21" s="2">
        <v>2014</v>
      </c>
      <c r="B21" s="2">
        <v>4</v>
      </c>
      <c r="C21" s="2" t="str">
        <f t="shared" si="0"/>
        <v>2014 - Q4</v>
      </c>
      <c r="D21" s="34">
        <v>29329</v>
      </c>
      <c r="E21" s="36">
        <f t="shared" si="3"/>
        <v>26041.630776629856</v>
      </c>
      <c r="F21" s="36">
        <f t="shared" si="4"/>
        <v>1000.0798370337537</v>
      </c>
      <c r="G21" s="36">
        <f t="shared" si="2"/>
        <v>1.126235152151849</v>
      </c>
      <c r="H21" s="32">
        <f t="shared" si="5"/>
        <v>30464.541440195451</v>
      </c>
      <c r="I21" s="35">
        <f t="shared" si="6"/>
        <v>1135.5414401954513</v>
      </c>
      <c r="J21" s="13">
        <f t="shared" si="7"/>
        <v>3.8717359616606474E-2</v>
      </c>
      <c r="K21" s="35">
        <f t="shared" si="8"/>
        <v>1289454.3624011597</v>
      </c>
      <c r="L21" s="35"/>
    </row>
    <row r="22" spans="1:15" x14ac:dyDescent="0.2">
      <c r="A22" s="2">
        <v>2015</v>
      </c>
      <c r="B22" s="2">
        <v>1</v>
      </c>
      <c r="C22" s="2" t="str">
        <f t="shared" si="0"/>
        <v>2015 - Q1</v>
      </c>
      <c r="D22" s="34">
        <v>22717</v>
      </c>
      <c r="E22" s="36">
        <f t="shared" si="3"/>
        <v>26533.911187361875</v>
      </c>
      <c r="F22" s="36">
        <f t="shared" si="4"/>
        <v>672.54025095410248</v>
      </c>
      <c r="G22" s="36">
        <f t="shared" si="2"/>
        <v>0.85614969612245206</v>
      </c>
      <c r="H22" s="32">
        <f t="shared" si="5"/>
        <v>23541.061496054459</v>
      </c>
      <c r="I22" s="35">
        <f t="shared" si="6"/>
        <v>824.06149605445898</v>
      </c>
      <c r="J22" s="13">
        <f t="shared" si="7"/>
        <v>3.6275102172578198E-2</v>
      </c>
      <c r="K22" s="35">
        <f t="shared" si="8"/>
        <v>679077.34927951312</v>
      </c>
      <c r="L22" s="35"/>
    </row>
    <row r="23" spans="1:15" x14ac:dyDescent="0.2">
      <c r="A23" s="2">
        <v>2015</v>
      </c>
      <c r="B23" s="2">
        <v>2</v>
      </c>
      <c r="C23" s="2" t="str">
        <f t="shared" si="0"/>
        <v>2015 - Q2</v>
      </c>
      <c r="D23" s="34">
        <v>23184</v>
      </c>
      <c r="E23" s="36">
        <f t="shared" si="3"/>
        <v>27787.399892511785</v>
      </c>
      <c r="F23" s="36">
        <f t="shared" si="4"/>
        <v>1047.2622501629817</v>
      </c>
      <c r="G23" s="36">
        <f t="shared" si="2"/>
        <v>0.83433498958812913</v>
      </c>
      <c r="H23" s="32">
        <f t="shared" si="5"/>
        <v>22296.481193485906</v>
      </c>
      <c r="I23" s="35">
        <f t="shared" si="6"/>
        <v>887.51880651409374</v>
      </c>
      <c r="J23" s="13">
        <f t="shared" si="7"/>
        <v>3.8281522020104111E-2</v>
      </c>
      <c r="K23" s="35">
        <f t="shared" si="8"/>
        <v>787689.63191620132</v>
      </c>
      <c r="L23" s="35"/>
    </row>
    <row r="24" spans="1:15" x14ac:dyDescent="0.2">
      <c r="A24" s="2">
        <v>2015</v>
      </c>
      <c r="B24" s="2">
        <v>3</v>
      </c>
      <c r="C24" s="2" t="str">
        <f t="shared" si="0"/>
        <v>2015 - Q3</v>
      </c>
      <c r="D24" s="34">
        <v>25358</v>
      </c>
      <c r="E24" s="36">
        <f t="shared" si="3"/>
        <v>30044.956665367536</v>
      </c>
      <c r="F24" s="36">
        <f t="shared" si="4"/>
        <v>1827.9235633990979</v>
      </c>
      <c r="G24" s="36">
        <f t="shared" si="2"/>
        <v>0.84400188299255774</v>
      </c>
      <c r="H24" s="32">
        <f t="shared" si="5"/>
        <v>23517.865222084274</v>
      </c>
      <c r="I24" s="35">
        <f t="shared" si="6"/>
        <v>1840.1347779157259</v>
      </c>
      <c r="J24" s="13">
        <f t="shared" si="7"/>
        <v>7.2566242523689803E-2</v>
      </c>
      <c r="K24" s="35">
        <f t="shared" si="8"/>
        <v>3386096.0008949577</v>
      </c>
      <c r="L24" s="35"/>
    </row>
    <row r="25" spans="1:15" x14ac:dyDescent="0.2">
      <c r="A25" s="2">
        <v>2015</v>
      </c>
      <c r="B25" s="2">
        <v>4</v>
      </c>
      <c r="C25" s="2" t="str">
        <f t="shared" si="0"/>
        <v>2015 - Q4</v>
      </c>
      <c r="D25" s="34">
        <v>35747</v>
      </c>
      <c r="E25" s="36">
        <f t="shared" si="3"/>
        <v>31801.738534007331</v>
      </c>
      <c r="F25" s="36">
        <f t="shared" si="4"/>
        <v>1782.0359155453543</v>
      </c>
      <c r="G25" s="36">
        <f t="shared" si="2"/>
        <v>1.1240580436121059</v>
      </c>
      <c r="H25" s="32">
        <f t="shared" si="5"/>
        <v>35896.358113962648</v>
      </c>
      <c r="I25" s="35">
        <f t="shared" si="6"/>
        <v>149.35811396264762</v>
      </c>
      <c r="J25" s="13">
        <f t="shared" si="7"/>
        <v>4.1781999597909651E-3</v>
      </c>
      <c r="K25" s="35">
        <f t="shared" si="8"/>
        <v>22307.846206479233</v>
      </c>
      <c r="L25" s="35"/>
    </row>
    <row r="26" spans="1:15" x14ac:dyDescent="0.2">
      <c r="A26" s="2">
        <v>2016</v>
      </c>
      <c r="B26" s="2">
        <v>1</v>
      </c>
      <c r="C26" s="2" t="str">
        <f t="shared" si="0"/>
        <v>2016 - Q1</v>
      </c>
      <c r="D26" s="34">
        <v>29128</v>
      </c>
      <c r="E26" s="36">
        <f t="shared" si="3"/>
        <v>33818.904973307901</v>
      </c>
      <c r="F26" s="36">
        <f t="shared" si="4"/>
        <v>1933.6992503907013</v>
      </c>
      <c r="G26" s="36">
        <f t="shared" si="2"/>
        <v>0.86129341038657903</v>
      </c>
      <c r="H26" s="32">
        <f t="shared" si="5"/>
        <v>28752.738289629502</v>
      </c>
      <c r="I26" s="35">
        <f t="shared" si="6"/>
        <v>375.26171037049789</v>
      </c>
      <c r="J26" s="13">
        <f t="shared" si="7"/>
        <v>1.2883195220080263E-2</v>
      </c>
      <c r="K26" s="35">
        <f t="shared" si="8"/>
        <v>140821.35127019146</v>
      </c>
      <c r="L26" s="35"/>
    </row>
    <row r="27" spans="1:15" x14ac:dyDescent="0.2">
      <c r="A27" s="2">
        <v>2016</v>
      </c>
      <c r="B27" s="2">
        <v>2</v>
      </c>
      <c r="C27" s="2" t="str">
        <f t="shared" si="0"/>
        <v>2016 - Q2</v>
      </c>
      <c r="D27" s="34">
        <v>30404</v>
      </c>
      <c r="E27" s="36">
        <f t="shared" si="3"/>
        <v>36121.889197397759</v>
      </c>
      <c r="F27" s="36">
        <f t="shared" si="4"/>
        <v>2171.8945715468635</v>
      </c>
      <c r="G27" s="36">
        <f t="shared" si="2"/>
        <v>0.84170569910807214</v>
      </c>
      <c r="H27" s="32">
        <f t="shared" si="5"/>
        <v>29829.648672728075</v>
      </c>
      <c r="I27" s="35">
        <f t="shared" si="6"/>
        <v>574.35132727192467</v>
      </c>
      <c r="J27" s="13">
        <f t="shared" si="7"/>
        <v>1.8890650153661512E-2</v>
      </c>
      <c r="K27" s="35">
        <f t="shared" si="8"/>
        <v>329879.44713902153</v>
      </c>
      <c r="L27" s="35"/>
    </row>
    <row r="28" spans="1:15" x14ac:dyDescent="0.2">
      <c r="A28" s="2">
        <v>2016</v>
      </c>
      <c r="B28" s="2">
        <v>3</v>
      </c>
      <c r="C28" s="2" t="str">
        <f t="shared" si="0"/>
        <v>2016 - Q3</v>
      </c>
      <c r="D28" s="34">
        <v>32714</v>
      </c>
      <c r="E28" s="36">
        <f t="shared" si="3"/>
        <v>38544.192255264184</v>
      </c>
      <c r="F28" s="36">
        <f t="shared" si="4"/>
        <v>2333.4124617053408</v>
      </c>
      <c r="G28" s="36">
        <f t="shared" si="2"/>
        <v>0.84874005877064596</v>
      </c>
      <c r="H28" s="32">
        <f t="shared" si="5"/>
        <v>32320.025607899108</v>
      </c>
      <c r="I28" s="35">
        <f t="shared" si="6"/>
        <v>393.97439210089215</v>
      </c>
      <c r="J28" s="13">
        <f t="shared" si="7"/>
        <v>1.2042990527018774E-2</v>
      </c>
      <c r="K28" s="35">
        <f t="shared" si="8"/>
        <v>155215.82163126752</v>
      </c>
      <c r="L28" s="35"/>
    </row>
    <row r="29" spans="1:15" x14ac:dyDescent="0.2">
      <c r="A29" s="2">
        <v>2016</v>
      </c>
      <c r="B29" s="2">
        <v>4</v>
      </c>
      <c r="C29" s="2" t="str">
        <f t="shared" si="0"/>
        <v>2016 - Q4</v>
      </c>
      <c r="D29" s="34">
        <v>43741</v>
      </c>
      <c r="E29" s="36">
        <f t="shared" si="3"/>
        <v>39823.956754609266</v>
      </c>
      <c r="F29" s="36">
        <f t="shared" si="4"/>
        <v>1653.7909426765227</v>
      </c>
      <c r="G29" s="36">
        <f t="shared" si="2"/>
        <v>1.0983589669285529</v>
      </c>
      <c r="H29" s="32">
        <f t="shared" si="5"/>
        <v>45948.800385705756</v>
      </c>
      <c r="I29" s="35">
        <f t="shared" si="6"/>
        <v>2207.8003857057556</v>
      </c>
      <c r="J29" s="13">
        <f t="shared" si="7"/>
        <v>5.0474392119653315E-2</v>
      </c>
      <c r="K29" s="35">
        <f t="shared" si="8"/>
        <v>4874382.5431224834</v>
      </c>
      <c r="L29" s="35"/>
    </row>
    <row r="30" spans="1:15" x14ac:dyDescent="0.2">
      <c r="A30" s="2">
        <v>2017</v>
      </c>
      <c r="B30" s="2">
        <v>1</v>
      </c>
      <c r="C30" s="2" t="str">
        <f t="shared" si="0"/>
        <v>2017 - Q1</v>
      </c>
      <c r="D30" s="34">
        <v>35714</v>
      </c>
      <c r="E30" s="36">
        <f t="shared" si="3"/>
        <v>41471.20121727878</v>
      </c>
      <c r="F30" s="36">
        <f t="shared" si="4"/>
        <v>1649.5683476110053</v>
      </c>
      <c r="G30" s="36">
        <f t="shared" si="2"/>
        <v>0.86117592333254944</v>
      </c>
      <c r="H30" s="32">
        <f t="shared" si="5"/>
        <v>35724.510769349356</v>
      </c>
      <c r="I30" s="35">
        <f t="shared" si="6"/>
        <v>10.510769349355542</v>
      </c>
      <c r="J30" s="13">
        <f t="shared" si="7"/>
        <v>2.9430389621312486E-4</v>
      </c>
      <c r="K30" s="35">
        <f t="shared" si="8"/>
        <v>110.47627231535192</v>
      </c>
      <c r="L30" s="35"/>
      <c r="M30" s="6" t="s">
        <v>54</v>
      </c>
    </row>
    <row r="31" spans="1:15" x14ac:dyDescent="0.2">
      <c r="A31" s="2">
        <v>2017</v>
      </c>
      <c r="B31" s="2">
        <v>2</v>
      </c>
      <c r="C31" s="2" t="str">
        <f t="shared" si="0"/>
        <v>2017 - Q2</v>
      </c>
      <c r="D31" s="34">
        <v>37955</v>
      </c>
      <c r="E31" s="36">
        <f t="shared" si="3"/>
        <v>44178.738560681981</v>
      </c>
      <c r="F31" s="36">
        <f t="shared" si="4"/>
        <v>2331.9770094139699</v>
      </c>
      <c r="G31" s="36">
        <f t="shared" si="2"/>
        <v>0.85912366981385568</v>
      </c>
      <c r="H31" s="32">
        <f t="shared" si="5"/>
        <v>36294.997492693634</v>
      </c>
      <c r="I31" s="35">
        <f t="shared" si="6"/>
        <v>1660.0025073063662</v>
      </c>
      <c r="J31" s="13">
        <f t="shared" si="7"/>
        <v>4.3736069221614181E-2</v>
      </c>
      <c r="K31" s="35">
        <f t="shared" si="8"/>
        <v>2755608.3242634223</v>
      </c>
      <c r="L31" s="35"/>
    </row>
    <row r="32" spans="1:15" x14ac:dyDescent="0.2">
      <c r="A32" s="2">
        <v>2017</v>
      </c>
      <c r="B32" s="2">
        <v>3</v>
      </c>
      <c r="C32" s="2" t="str">
        <f t="shared" si="0"/>
        <v>2017 - Q3</v>
      </c>
      <c r="D32" s="34">
        <v>43744</v>
      </c>
      <c r="E32" s="36">
        <f t="shared" si="3"/>
        <v>49208.605891304585</v>
      </c>
      <c r="F32" s="36">
        <f t="shared" si="4"/>
        <v>4072.1638495855827</v>
      </c>
      <c r="G32" s="36">
        <f t="shared" si="2"/>
        <v>0.88895019900837691</v>
      </c>
      <c r="H32" s="32">
        <f t="shared" si="5"/>
        <v>39475.507466428033</v>
      </c>
      <c r="I32" s="35">
        <f t="shared" si="6"/>
        <v>4268.4925335719672</v>
      </c>
      <c r="J32" s="13">
        <f t="shared" si="7"/>
        <v>9.7578925877193842E-2</v>
      </c>
      <c r="K32" s="35">
        <f t="shared" si="8"/>
        <v>18220028.509159632</v>
      </c>
      <c r="L32" s="35"/>
      <c r="M32" s="24" t="s">
        <v>55</v>
      </c>
      <c r="N32" s="24" t="s">
        <v>56</v>
      </c>
      <c r="O32" s="24" t="s">
        <v>57</v>
      </c>
    </row>
    <row r="33" spans="1:15" x14ac:dyDescent="0.2">
      <c r="A33" s="2">
        <v>2017</v>
      </c>
      <c r="B33" s="2">
        <v>4</v>
      </c>
      <c r="C33" s="2" t="str">
        <f t="shared" si="0"/>
        <v>2017 - Q4</v>
      </c>
      <c r="D33" s="34">
        <v>60453</v>
      </c>
      <c r="E33" s="36">
        <f t="shared" si="3"/>
        <v>54224.167501227275</v>
      </c>
      <c r="F33" s="36">
        <f t="shared" si="4"/>
        <v>4680.6720438143766</v>
      </c>
      <c r="G33" s="36">
        <f t="shared" si="2"/>
        <v>1.1148718880493969</v>
      </c>
      <c r="H33" s="32">
        <f t="shared" si="5"/>
        <v>58521.411209762227</v>
      </c>
      <c r="I33" s="35">
        <f t="shared" si="6"/>
        <v>1931.5887902377726</v>
      </c>
      <c r="J33" s="13">
        <f t="shared" si="7"/>
        <v>3.1951909586584164E-2</v>
      </c>
      <c r="K33" s="35">
        <f t="shared" si="8"/>
        <v>3731035.254572222</v>
      </c>
      <c r="L33" s="35"/>
      <c r="M33" s="42" t="s">
        <v>58</v>
      </c>
      <c r="N33" s="20">
        <v>0.50660000000000005</v>
      </c>
      <c r="O33" s="20">
        <v>0.56399999999999995</v>
      </c>
    </row>
    <row r="34" spans="1:15" x14ac:dyDescent="0.2">
      <c r="A34" s="2">
        <v>2018</v>
      </c>
      <c r="B34" s="2">
        <v>1</v>
      </c>
      <c r="C34" s="2" t="str">
        <f t="shared" si="0"/>
        <v>2018 - Q1</v>
      </c>
      <c r="D34" s="34">
        <v>51042</v>
      </c>
      <c r="E34" s="36">
        <f t="shared" si="3"/>
        <v>59100.791888549233</v>
      </c>
      <c r="F34" s="36">
        <f t="shared" si="4"/>
        <v>4807.0647614100708</v>
      </c>
      <c r="G34" s="36">
        <f t="shared" si="2"/>
        <v>0.86364325026733491</v>
      </c>
      <c r="H34" s="32">
        <f t="shared" si="5"/>
        <v>50727.429583956917</v>
      </c>
      <c r="I34" s="35">
        <f t="shared" si="6"/>
        <v>314.57041604308324</v>
      </c>
      <c r="J34" s="13">
        <f t="shared" si="7"/>
        <v>6.1629719847005066E-3</v>
      </c>
      <c r="K34" s="35">
        <f t="shared" si="8"/>
        <v>98954.546649518481</v>
      </c>
      <c r="L34" s="35"/>
      <c r="M34" s="42" t="s">
        <v>59</v>
      </c>
      <c r="N34" s="20">
        <v>0.1394</v>
      </c>
      <c r="O34" s="20">
        <v>0.56399999999999995</v>
      </c>
    </row>
    <row r="35" spans="1:15" x14ac:dyDescent="0.2">
      <c r="A35" s="2">
        <v>2018</v>
      </c>
      <c r="B35" s="2">
        <v>2</v>
      </c>
      <c r="C35" s="2" t="str">
        <f t="shared" si="0"/>
        <v>2018 - Q2</v>
      </c>
      <c r="D35" s="34">
        <v>52886</v>
      </c>
      <c r="E35" s="36">
        <f t="shared" si="3"/>
        <v>62647.33060939861</v>
      </c>
      <c r="F35" s="36">
        <f t="shared" si="4"/>
        <v>3994.0032332102687</v>
      </c>
      <c r="G35" s="36">
        <f t="shared" si="2"/>
        <v>0.84418600897363416</v>
      </c>
      <c r="H35" s="32">
        <f t="shared" si="5"/>
        <v>54904.752335050856</v>
      </c>
      <c r="I35" s="35">
        <f t="shared" si="6"/>
        <v>2018.7523350508563</v>
      </c>
      <c r="J35" s="13">
        <f t="shared" si="7"/>
        <v>3.8171772020021484E-2</v>
      </c>
      <c r="K35" s="35">
        <f t="shared" si="8"/>
        <v>4075360.9902732847</v>
      </c>
      <c r="L35" s="35"/>
      <c r="M35" s="42" t="s">
        <v>60</v>
      </c>
      <c r="N35" s="20">
        <v>0.49340000000000001</v>
      </c>
      <c r="O35" s="20">
        <v>0.436</v>
      </c>
    </row>
    <row r="36" spans="1:15" x14ac:dyDescent="0.2">
      <c r="A36" s="2">
        <v>2018</v>
      </c>
      <c r="B36" s="2">
        <v>3</v>
      </c>
      <c r="C36" s="2" t="str">
        <f t="shared" si="0"/>
        <v>2018 - Q3</v>
      </c>
      <c r="D36" s="34">
        <v>56576</v>
      </c>
      <c r="E36" s="36">
        <f t="shared" si="3"/>
        <v>65033.22274165212</v>
      </c>
      <c r="F36" s="36">
        <f t="shared" si="4"/>
        <v>2956.7432106585857</v>
      </c>
      <c r="G36" s="36">
        <f t="shared" si="2"/>
        <v>0.86995534920283935</v>
      </c>
      <c r="H36" s="32">
        <f t="shared" si="5"/>
        <v>59240.826981570841</v>
      </c>
      <c r="I36" s="35">
        <f t="shared" si="6"/>
        <v>2664.8269815708409</v>
      </c>
      <c r="J36" s="13">
        <f t="shared" si="7"/>
        <v>4.7101721252312656E-2</v>
      </c>
      <c r="K36" s="35">
        <f t="shared" si="8"/>
        <v>7101302.8417079588</v>
      </c>
      <c r="L36" s="35"/>
      <c r="M36" s="42" t="s">
        <v>42</v>
      </c>
      <c r="N36" s="20">
        <f>12722.726^2</f>
        <v>161867756.87107602</v>
      </c>
      <c r="O36" s="20">
        <f>19572.25^2</f>
        <v>383072970.0625</v>
      </c>
    </row>
    <row r="37" spans="1:15" x14ac:dyDescent="0.2">
      <c r="A37" s="2">
        <v>2018</v>
      </c>
      <c r="B37" s="2">
        <v>4</v>
      </c>
      <c r="C37" s="2" t="str">
        <f t="shared" si="0"/>
        <v>2018 - Q4</v>
      </c>
      <c r="D37" s="34">
        <v>72383</v>
      </c>
      <c r="E37" s="36">
        <f t="shared" si="3"/>
        <v>66345.755497032587</v>
      </c>
      <c r="F37" s="36">
        <f t="shared" si="4"/>
        <v>1896.1984678812935</v>
      </c>
      <c r="G37" s="36">
        <f t="shared" si="2"/>
        <v>1.0909966953837376</v>
      </c>
      <c r="H37" s="32">
        <f t="shared" si="5"/>
        <v>75800.101709666851</v>
      </c>
      <c r="I37" s="35">
        <f t="shared" si="6"/>
        <v>3417.1017096668511</v>
      </c>
      <c r="J37" s="13">
        <f t="shared" si="7"/>
        <v>4.72086223238447E-2</v>
      </c>
      <c r="K37" s="35">
        <f t="shared" si="8"/>
        <v>11676584.094208118</v>
      </c>
      <c r="L37" s="35"/>
      <c r="M37" s="42" t="s">
        <v>40</v>
      </c>
      <c r="N37" s="20">
        <v>8352.9349999999995</v>
      </c>
      <c r="O37" s="20">
        <v>15287.6597</v>
      </c>
    </row>
    <row r="38" spans="1:15" x14ac:dyDescent="0.2">
      <c r="A38" s="43" t="s">
        <v>3</v>
      </c>
      <c r="B38" s="44">
        <v>1</v>
      </c>
      <c r="C38" s="44" t="str">
        <f t="shared" si="0"/>
        <v>2019 - Q1</v>
      </c>
      <c r="D38" s="45">
        <v>59700</v>
      </c>
      <c r="E38" s="46">
        <f t="shared" si="3"/>
        <v>68716.06894598942</v>
      </c>
      <c r="F38" s="46">
        <f t="shared" si="4"/>
        <v>2202.0109926937371</v>
      </c>
      <c r="G38" s="46">
        <f t="shared" si="2"/>
        <v>0.86879242243795962</v>
      </c>
      <c r="H38" s="47">
        <f t="shared" si="5"/>
        <v>58936.702926852064</v>
      </c>
      <c r="I38" s="48">
        <f t="shared" si="6"/>
        <v>763.29707314793632</v>
      </c>
      <c r="J38" s="49">
        <f t="shared" si="7"/>
        <v>1.278554561386828E-2</v>
      </c>
      <c r="K38" s="48">
        <f t="shared" si="8"/>
        <v>582622.42187620606</v>
      </c>
      <c r="L38" s="35"/>
      <c r="M38" s="42" t="s">
        <v>41</v>
      </c>
      <c r="N38" s="22">
        <v>8.3049890000000001E-2</v>
      </c>
      <c r="O38" s="23">
        <v>0.16282725000000001</v>
      </c>
    </row>
    <row r="39" spans="1:15" x14ac:dyDescent="0.2">
      <c r="A39" s="43" t="s">
        <v>3</v>
      </c>
      <c r="B39" s="44">
        <v>2</v>
      </c>
      <c r="C39" s="44" t="str">
        <f t="shared" si="0"/>
        <v>2019 - Q2</v>
      </c>
      <c r="D39" s="45">
        <v>63404</v>
      </c>
      <c r="E39" s="46">
        <f t="shared" si="3"/>
        <v>73165.024322933867</v>
      </c>
      <c r="F39" s="46">
        <f t="shared" si="4"/>
        <v>3651.3297501437787</v>
      </c>
      <c r="G39" s="46">
        <f t="shared" si="2"/>
        <v>0.86658892806690102</v>
      </c>
      <c r="H39" s="47">
        <f t="shared" si="5"/>
        <v>59868.050867510094</v>
      </c>
      <c r="I39" s="48">
        <f t="shared" si="6"/>
        <v>3535.9491324899063</v>
      </c>
      <c r="J39" s="49">
        <f t="shared" si="7"/>
        <v>5.5768549815309862E-2</v>
      </c>
      <c r="K39" s="48">
        <f t="shared" si="8"/>
        <v>12502936.267556122</v>
      </c>
      <c r="L39" s="35"/>
    </row>
    <row r="40" spans="1:15" x14ac:dyDescent="0.2">
      <c r="A40" s="43" t="s">
        <v>3</v>
      </c>
      <c r="B40" s="44">
        <v>3</v>
      </c>
      <c r="C40" s="44" t="str">
        <f t="shared" si="0"/>
        <v>2019 - Q3</v>
      </c>
      <c r="D40" s="45">
        <v>69982</v>
      </c>
      <c r="E40" s="46">
        <f t="shared" si="3"/>
        <v>78761.95897574292</v>
      </c>
      <c r="F40" s="46">
        <f t="shared" si="4"/>
        <v>4906.2792272132201</v>
      </c>
      <c r="G40" s="46">
        <f t="shared" si="2"/>
        <v>0.88852538598681918</v>
      </c>
      <c r="H40" s="47">
        <f t="shared" si="5"/>
        <v>66826.798132133219</v>
      </c>
      <c r="I40" s="48">
        <f t="shared" si="6"/>
        <v>3155.201867866781</v>
      </c>
      <c r="J40" s="49">
        <f t="shared" si="7"/>
        <v>4.5085905916761183E-2</v>
      </c>
      <c r="K40" s="48">
        <f t="shared" si="8"/>
        <v>9955298.8269900233</v>
      </c>
      <c r="L40" s="35"/>
      <c r="M40" s="6" t="s">
        <v>61</v>
      </c>
    </row>
    <row r="41" spans="1:15" x14ac:dyDescent="0.2">
      <c r="A41" s="44">
        <v>2019</v>
      </c>
      <c r="B41" s="44">
        <v>4</v>
      </c>
      <c r="C41" s="44" t="str">
        <f t="shared" si="0"/>
        <v>2019 - Q4</v>
      </c>
      <c r="D41" s="45">
        <v>87436</v>
      </c>
      <c r="E41" s="46">
        <f t="shared" si="3"/>
        <v>81777.268836546151</v>
      </c>
      <c r="F41" s="46">
        <f t="shared" si="4"/>
        <v>3686.5706346414754</v>
      </c>
      <c r="G41" s="46">
        <f t="shared" si="2"/>
        <v>1.0691968715018392</v>
      </c>
      <c r="H41" s="47">
        <f t="shared" si="5"/>
        <v>91281.771388004534</v>
      </c>
      <c r="I41" s="48">
        <f t="shared" si="6"/>
        <v>3845.7713880045339</v>
      </c>
      <c r="J41" s="49">
        <f t="shared" si="7"/>
        <v>4.3983844045982594E-2</v>
      </c>
      <c r="K41" s="48">
        <f t="shared" si="8"/>
        <v>14789957.568794319</v>
      </c>
      <c r="L41" s="35"/>
      <c r="M41" s="6" t="s">
        <v>51</v>
      </c>
      <c r="N41" s="6" t="s">
        <v>2</v>
      </c>
    </row>
    <row r="42" spans="1:15" x14ac:dyDescent="0.2">
      <c r="A42" s="44">
        <v>2020</v>
      </c>
      <c r="B42" s="44">
        <v>1</v>
      </c>
      <c r="C42" s="44" t="str">
        <f t="shared" si="0"/>
        <v>2020 - Q1</v>
      </c>
      <c r="D42" s="45">
        <v>75452</v>
      </c>
      <c r="E42" s="46">
        <f t="shared" si="3"/>
        <v>86205.818183693918</v>
      </c>
      <c r="F42" s="46">
        <f t="shared" si="4"/>
        <v>4165.1599905692165</v>
      </c>
      <c r="G42" s="46">
        <f t="shared" si="2"/>
        <v>0.87525414861466933</v>
      </c>
      <c r="H42" s="47">
        <f t="shared" si="5"/>
        <v>74250.336125022019</v>
      </c>
      <c r="I42" s="48">
        <f t="shared" si="6"/>
        <v>1201.6638749779813</v>
      </c>
      <c r="J42" s="49">
        <f t="shared" si="7"/>
        <v>1.5926203082462776E-2</v>
      </c>
      <c r="K42" s="48">
        <f t="shared" si="8"/>
        <v>1443996.0684270975</v>
      </c>
      <c r="L42" s="35"/>
      <c r="M42" t="s">
        <v>62</v>
      </c>
      <c r="N42">
        <v>116597.1</v>
      </c>
    </row>
    <row r="43" spans="1:15" x14ac:dyDescent="0.2">
      <c r="A43" s="44">
        <v>2020</v>
      </c>
      <c r="B43" s="44">
        <v>2</v>
      </c>
      <c r="C43" s="44" t="str">
        <f t="shared" si="0"/>
        <v>2020 - Q2</v>
      </c>
      <c r="D43" s="45">
        <v>88912</v>
      </c>
      <c r="E43" s="46">
        <f t="shared" si="3"/>
        <v>96931.149781501212</v>
      </c>
      <c r="F43" s="46">
        <f t="shared" si="4"/>
        <v>8396.5863797149796</v>
      </c>
      <c r="G43" s="46">
        <f t="shared" si="2"/>
        <v>0.91726963107754633</v>
      </c>
      <c r="H43" s="47">
        <f t="shared" si="5"/>
        <v>78314.489104391992</v>
      </c>
      <c r="I43" s="48">
        <f t="shared" si="6"/>
        <v>10597.510895608008</v>
      </c>
      <c r="J43" s="49">
        <f t="shared" si="7"/>
        <v>0.11919100791353257</v>
      </c>
      <c r="K43" s="48">
        <f t="shared" si="8"/>
        <v>112307237.18253043</v>
      </c>
      <c r="L43" s="35"/>
      <c r="M43" t="s">
        <v>63</v>
      </c>
      <c r="N43">
        <v>132220.1</v>
      </c>
    </row>
    <row r="44" spans="1:15" x14ac:dyDescent="0.2">
      <c r="A44" s="44">
        <v>2020</v>
      </c>
      <c r="B44" s="44">
        <v>3</v>
      </c>
      <c r="C44" s="44" t="str">
        <f t="shared" si="0"/>
        <v>2020 - Q3</v>
      </c>
      <c r="D44" s="45">
        <v>96145</v>
      </c>
      <c r="E44" s="46">
        <f t="shared" si="3"/>
        <v>106872.50161380597</v>
      </c>
      <c r="F44" s="46">
        <f t="shared" si="4"/>
        <v>9392.9873418357074</v>
      </c>
      <c r="G44" s="46">
        <f t="shared" si="2"/>
        <v>0.89962336941853549</v>
      </c>
      <c r="H44" s="47">
        <f t="shared" si="5"/>
        <v>93586.367427762467</v>
      </c>
      <c r="I44" s="48">
        <f t="shared" si="6"/>
        <v>2558.6325722375332</v>
      </c>
      <c r="J44" s="49">
        <f t="shared" si="7"/>
        <v>2.661222707616135E-2</v>
      </c>
      <c r="K44" s="48">
        <f t="shared" si="8"/>
        <v>6546600.6397148557</v>
      </c>
      <c r="L44" s="35"/>
      <c r="M44" t="s">
        <v>64</v>
      </c>
      <c r="N44">
        <v>142842.9</v>
      </c>
    </row>
    <row r="45" spans="1:15" x14ac:dyDescent="0.2">
      <c r="A45" s="44">
        <v>2020</v>
      </c>
      <c r="B45" s="44">
        <v>4</v>
      </c>
      <c r="C45" s="44" t="str">
        <f t="shared" si="0"/>
        <v>2020 - Q4</v>
      </c>
      <c r="D45" s="45">
        <v>125555</v>
      </c>
      <c r="E45" s="46">
        <f t="shared" si="3"/>
        <v>116889.78835073992</v>
      </c>
      <c r="F45" s="46">
        <f t="shared" si="4"/>
        <v>9795.6714625120312</v>
      </c>
      <c r="G45" s="46">
        <f t="shared" si="2"/>
        <v>1.0741314683816452</v>
      </c>
      <c r="H45" s="47">
        <f t="shared" si="5"/>
        <v>124310.69705500371</v>
      </c>
      <c r="I45" s="48">
        <f t="shared" si="6"/>
        <v>1244.3029449962924</v>
      </c>
      <c r="J45" s="49">
        <f t="shared" si="7"/>
        <v>9.9104212894452013E-3</v>
      </c>
      <c r="K45" s="48">
        <f t="shared" si="8"/>
        <v>1548289.8189264461</v>
      </c>
      <c r="L45" s="35"/>
      <c r="M45" t="s">
        <v>65</v>
      </c>
      <c r="N45">
        <v>170383.9</v>
      </c>
    </row>
    <row r="46" spans="1:15" x14ac:dyDescent="0.2">
      <c r="A46" s="2">
        <v>2021</v>
      </c>
      <c r="B46" s="2">
        <v>1</v>
      </c>
      <c r="C46" s="2" t="str">
        <f t="shared" si="0"/>
        <v>2021 - Q1</v>
      </c>
      <c r="H46" s="30">
        <f t="shared" si="5"/>
        <v>110881.97427070574</v>
      </c>
      <c r="J46" s="13"/>
      <c r="L46" s="35"/>
    </row>
    <row r="47" spans="1:15" x14ac:dyDescent="0.2">
      <c r="A47" s="2">
        <v>2021</v>
      </c>
      <c r="B47" s="2">
        <v>2</v>
      </c>
      <c r="C47" s="2" t="str">
        <f t="shared" si="0"/>
        <v>2021 - Q2</v>
      </c>
      <c r="H47" s="30">
        <f>($E$45+2*$F$45)*G43</f>
        <v>125189.99693436621</v>
      </c>
      <c r="J47" s="13"/>
      <c r="L47" s="35"/>
    </row>
    <row r="48" spans="1:15" x14ac:dyDescent="0.2">
      <c r="A48" s="2">
        <v>2021</v>
      </c>
      <c r="B48" s="2">
        <v>3</v>
      </c>
      <c r="C48" s="2" t="str">
        <f t="shared" si="0"/>
        <v>2021 - Q3</v>
      </c>
      <c r="H48" s="30">
        <f>($E$45+3*$F$45)*G44</f>
        <v>131594.03014717833</v>
      </c>
      <c r="J48" s="13"/>
      <c r="L48" s="35"/>
    </row>
    <row r="49" spans="1:12" x14ac:dyDescent="0.2">
      <c r="A49" s="2">
        <v>2021</v>
      </c>
      <c r="B49" s="2">
        <v>4</v>
      </c>
      <c r="C49" s="2" t="str">
        <f t="shared" si="0"/>
        <v>2021 - Q4</v>
      </c>
      <c r="H49" s="30">
        <f>($E$45+4*$F$45)*G45</f>
        <v>167642.35588724891</v>
      </c>
      <c r="J49" s="13"/>
      <c r="L49" s="35"/>
    </row>
    <row r="50" spans="1:12" x14ac:dyDescent="0.2">
      <c r="I50" s="38">
        <f>AVERAGE(I38:I45)</f>
        <v>3362.7912186661215</v>
      </c>
      <c r="J50" s="16">
        <f t="shared" ref="J50:K50" si="9">AVERAGE(J38:J45)</f>
        <v>4.1157963094190474E-2</v>
      </c>
      <c r="K50" s="38">
        <f t="shared" si="9"/>
        <v>19959617.349351939</v>
      </c>
    </row>
    <row r="51" spans="1:12" x14ac:dyDescent="0.2">
      <c r="I51" s="11" t="s">
        <v>40</v>
      </c>
      <c r="J51" s="11" t="s">
        <v>41</v>
      </c>
      <c r="K51" s="11" t="s">
        <v>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E2D0-86B6-A34A-B7BD-A23EB0A184ED}">
  <dimension ref="A2:I10"/>
  <sheetViews>
    <sheetView tabSelected="1" zoomScale="120" zoomScaleNormal="120" workbookViewId="0">
      <selection activeCell="J17" sqref="J17"/>
    </sheetView>
  </sheetViews>
  <sheetFormatPr baseColWidth="10" defaultRowHeight="15" x14ac:dyDescent="0.2"/>
  <cols>
    <col min="5" max="5" width="11" bestFit="1" customWidth="1"/>
    <col min="6" max="6" width="11.1640625" customWidth="1"/>
    <col min="7" max="7" width="11" bestFit="1" customWidth="1"/>
    <col min="8" max="8" width="11.1640625" bestFit="1" customWidth="1"/>
    <col min="9" max="9" width="13.5" customWidth="1"/>
  </cols>
  <sheetData>
    <row r="2" spans="1:9" s="50" customFormat="1" ht="48" x14ac:dyDescent="0.2">
      <c r="A2" s="52" t="s">
        <v>0</v>
      </c>
      <c r="B2" s="52" t="s">
        <v>1</v>
      </c>
      <c r="C2" s="52" t="s">
        <v>51</v>
      </c>
      <c r="D2" s="53" t="s">
        <v>2</v>
      </c>
      <c r="E2" s="54" t="s">
        <v>69</v>
      </c>
      <c r="F2" s="54" t="s">
        <v>70</v>
      </c>
      <c r="G2" s="54" t="s">
        <v>71</v>
      </c>
      <c r="H2" s="54" t="s">
        <v>72</v>
      </c>
      <c r="I2" s="54" t="s">
        <v>73</v>
      </c>
    </row>
    <row r="3" spans="1:9" x14ac:dyDescent="0.2">
      <c r="A3" s="55" t="s">
        <v>3</v>
      </c>
      <c r="B3" s="56">
        <v>1</v>
      </c>
      <c r="C3" s="56" t="s">
        <v>74</v>
      </c>
      <c r="D3" s="56">
        <v>59700</v>
      </c>
      <c r="E3" s="21">
        <v>51199.187500000015</v>
      </c>
      <c r="F3" s="21">
        <v>60390.071730985939</v>
      </c>
      <c r="G3" s="21">
        <v>62109.294004505638</v>
      </c>
      <c r="H3" s="21">
        <v>67979.970549571211</v>
      </c>
      <c r="I3" s="21">
        <v>58936.702926852064</v>
      </c>
    </row>
    <row r="4" spans="1:9" x14ac:dyDescent="0.2">
      <c r="A4" s="55" t="s">
        <v>3</v>
      </c>
      <c r="B4" s="56">
        <v>2</v>
      </c>
      <c r="C4" s="56" t="s">
        <v>75</v>
      </c>
      <c r="D4" s="56">
        <v>63404</v>
      </c>
      <c r="E4" s="21">
        <v>51665.965277777796</v>
      </c>
      <c r="F4" s="21">
        <v>60471.63377306574</v>
      </c>
      <c r="G4" s="21">
        <v>64446.375754484397</v>
      </c>
      <c r="H4" s="21">
        <v>71822.353977771898</v>
      </c>
      <c r="I4" s="21">
        <v>59868.050867510094</v>
      </c>
    </row>
    <row r="5" spans="1:9" x14ac:dyDescent="0.2">
      <c r="A5" s="55" t="s">
        <v>3</v>
      </c>
      <c r="B5" s="56">
        <v>3</v>
      </c>
      <c r="C5" s="56" t="s">
        <v>76</v>
      </c>
      <c r="D5" s="56">
        <v>69982</v>
      </c>
      <c r="E5" s="21">
        <v>53834.520833333358</v>
      </c>
      <c r="F5" s="21">
        <v>66281.494237225605</v>
      </c>
      <c r="G5" s="21">
        <v>68485.235282240916</v>
      </c>
      <c r="H5" s="21">
        <v>77604.194396101171</v>
      </c>
      <c r="I5" s="21">
        <v>66826.798132133219</v>
      </c>
    </row>
    <row r="6" spans="1:9" x14ac:dyDescent="0.2">
      <c r="A6" s="56">
        <v>2019</v>
      </c>
      <c r="B6" s="56">
        <v>4</v>
      </c>
      <c r="C6" s="56" t="s">
        <v>77</v>
      </c>
      <c r="D6" s="56">
        <v>87436</v>
      </c>
      <c r="E6" s="21">
        <v>63899.298611111131</v>
      </c>
      <c r="F6" s="21">
        <v>96744.070501157839</v>
      </c>
      <c r="G6" s="21">
        <v>80420.317032219667</v>
      </c>
      <c r="H6" s="21">
        <v>91519.936249003542</v>
      </c>
      <c r="I6" s="21">
        <v>91281.771388004534</v>
      </c>
    </row>
    <row r="7" spans="1:9" x14ac:dyDescent="0.2">
      <c r="A7" s="56">
        <v>2020</v>
      </c>
      <c r="B7" s="56">
        <v>1</v>
      </c>
      <c r="C7" s="56" t="s">
        <v>78</v>
      </c>
      <c r="D7" s="56">
        <v>75452</v>
      </c>
      <c r="E7" s="21">
        <v>56892.69166666668</v>
      </c>
      <c r="F7" s="21">
        <v>75909.268293649788</v>
      </c>
      <c r="G7" s="21">
        <v>75471.044457196273</v>
      </c>
      <c r="H7" s="21">
        <v>89836.376051680592</v>
      </c>
      <c r="I7" s="21">
        <v>74250.336125022019</v>
      </c>
    </row>
    <row r="8" spans="1:9" x14ac:dyDescent="0.2">
      <c r="A8" s="56">
        <v>2020</v>
      </c>
      <c r="B8" s="56">
        <v>2</v>
      </c>
      <c r="C8" s="56" t="s">
        <v>79</v>
      </c>
      <c r="D8" s="56">
        <v>88912</v>
      </c>
      <c r="E8" s="21">
        <v>57359.469444444469</v>
      </c>
      <c r="F8" s="21">
        <v>76011.790359899111</v>
      </c>
      <c r="G8" s="21">
        <v>78182.187001615224</v>
      </c>
      <c r="H8" s="21">
        <v>95051.072966194959</v>
      </c>
      <c r="I8" s="21">
        <v>78314.489104391992</v>
      </c>
    </row>
    <row r="9" spans="1:9" x14ac:dyDescent="0.2">
      <c r="A9" s="56">
        <v>2020</v>
      </c>
      <c r="B9" s="56">
        <v>3</v>
      </c>
      <c r="C9" s="56" t="s">
        <v>80</v>
      </c>
      <c r="D9" s="56">
        <v>96145</v>
      </c>
      <c r="E9" s="21">
        <v>59528.025000000023</v>
      </c>
      <c r="F9" s="21">
        <v>83314.683767397757</v>
      </c>
      <c r="G9" s="21">
        <v>82595.107323811942</v>
      </c>
      <c r="H9" s="21">
        <v>102252.7627133081</v>
      </c>
      <c r="I9" s="21">
        <v>93586.367427762467</v>
      </c>
    </row>
    <row r="10" spans="1:9" x14ac:dyDescent="0.2">
      <c r="A10" s="56">
        <v>2020</v>
      </c>
      <c r="B10" s="56">
        <v>4</v>
      </c>
      <c r="C10" s="56" t="s">
        <v>81</v>
      </c>
      <c r="D10" s="56">
        <v>125555</v>
      </c>
      <c r="E10" s="21">
        <v>69592.802777777804</v>
      </c>
      <c r="F10" s="21">
        <v>121605.61153505131</v>
      </c>
      <c r="G10" s="21">
        <v>94904.249868230865</v>
      </c>
      <c r="H10" s="21">
        <v>117635.88973746447</v>
      </c>
      <c r="I10" s="21">
        <v>124310.69705500371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DB60-E7D8-394B-BE16-FB3102CFA353}">
  <dimension ref="B2:E7"/>
  <sheetViews>
    <sheetView showGridLines="0" zoomScale="120" zoomScaleNormal="120" workbookViewId="0">
      <selection activeCell="B9" sqref="B9"/>
    </sheetView>
  </sheetViews>
  <sheetFormatPr baseColWidth="10" defaultRowHeight="16" x14ac:dyDescent="0.2"/>
  <cols>
    <col min="1" max="1" width="4.6640625" style="26" customWidth="1"/>
    <col min="2" max="2" width="31.5" style="26" customWidth="1"/>
    <col min="3" max="3" width="13" style="26" customWidth="1"/>
    <col min="4" max="4" width="12.1640625" style="26" customWidth="1"/>
    <col min="5" max="5" width="18.5" style="26" bestFit="1" customWidth="1"/>
    <col min="6" max="16384" width="10.83203125" style="26"/>
  </cols>
  <sheetData>
    <row r="2" spans="2:5" x14ac:dyDescent="0.2">
      <c r="B2" s="25" t="s">
        <v>45</v>
      </c>
      <c r="C2" s="25" t="s">
        <v>40</v>
      </c>
      <c r="D2" s="25" t="s">
        <v>41</v>
      </c>
      <c r="E2" s="25" t="s">
        <v>42</v>
      </c>
    </row>
    <row r="3" spans="2:5" x14ac:dyDescent="0.2">
      <c r="B3" s="27" t="s">
        <v>34</v>
      </c>
      <c r="C3" s="28">
        <f>'Trend Models'!N49</f>
        <v>25326.754861111091</v>
      </c>
      <c r="D3" s="29">
        <f>'Trend Models'!O49</f>
        <v>0.28185840819562685</v>
      </c>
      <c r="E3" s="28">
        <f>'Trend Models'!P49</f>
        <v>854667894.29605317</v>
      </c>
    </row>
    <row r="4" spans="2:5" x14ac:dyDescent="0.2">
      <c r="B4" s="39" t="s">
        <v>44</v>
      </c>
      <c r="C4" s="40">
        <f>'Trend Models'!X49</f>
        <v>5846.0246066442551</v>
      </c>
      <c r="D4" s="41">
        <f>'Trend Models'!Y49</f>
        <v>6.6649339720213585E-2</v>
      </c>
      <c r="E4" s="40">
        <f>'Trend Models'!Z49</f>
        <v>57031009.62052469</v>
      </c>
    </row>
    <row r="5" spans="2:5" x14ac:dyDescent="0.2">
      <c r="B5" s="27" t="s">
        <v>35</v>
      </c>
      <c r="C5" s="28">
        <f>'Trend Models'!AH49</f>
        <v>8364.2022135084626</v>
      </c>
      <c r="D5" s="29">
        <f>'Trend Models'!AI49</f>
        <v>8.3051006550277626E-2</v>
      </c>
      <c r="E5" s="28">
        <f>'Trend Models'!AJ49</f>
        <v>162068585.22330406</v>
      </c>
    </row>
    <row r="6" spans="2:5" x14ac:dyDescent="0.2">
      <c r="B6" s="27" t="s">
        <v>36</v>
      </c>
      <c r="C6" s="28">
        <f>'Trend Models'!AR49</f>
        <v>7869.3471457708747</v>
      </c>
      <c r="D6" s="29">
        <f>'Trend Models'!AS49</f>
        <v>0.10167239989572889</v>
      </c>
      <c r="E6" s="28">
        <f>'Trend Models'!AT49</f>
        <v>69852317.83592698</v>
      </c>
    </row>
    <row r="7" spans="2:5" x14ac:dyDescent="0.2">
      <c r="B7" s="27" t="s">
        <v>52</v>
      </c>
      <c r="C7" s="28">
        <f>'Holt Winter''s'!I50</f>
        <v>3362.7912186661215</v>
      </c>
      <c r="D7" s="29">
        <f>'Holt Winter''s'!J50</f>
        <v>4.1157963094190474E-2</v>
      </c>
      <c r="E7" s="28">
        <f>'Holt Winter''s'!K50</f>
        <v>19959617.349351939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Revenue_Amazon</vt:lpstr>
      <vt:lpstr>Trend Models</vt:lpstr>
      <vt:lpstr>Holt Winter's</vt:lpstr>
      <vt:lpstr>Validation Set-Predicted Values</vt:lpstr>
      <vt:lpstr>Accuracy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 Chowdhury (SHE/HER)</dc:creator>
  <cp:lastModifiedBy>Sri Lakshmi Mallipudi</cp:lastModifiedBy>
  <dcterms:created xsi:type="dcterms:W3CDTF">2024-02-12T06:20:23Z</dcterms:created>
  <dcterms:modified xsi:type="dcterms:W3CDTF">2024-02-26T03:10:05Z</dcterms:modified>
</cp:coreProperties>
</file>