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drawings/drawing6.xml" ContentType="application/vnd.openxmlformats-officedocument.drawing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sringe/software/catint/examples/CO_reduction/ExperimentalCORData/excel/"/>
    </mc:Choice>
  </mc:AlternateContent>
  <bookViews>
    <workbookView xWindow="0" yWindow="460" windowWidth="38400" windowHeight="21940" activeTab="3"/>
  </bookViews>
  <sheets>
    <sheet name="Summary" sheetId="1" r:id="rId1"/>
    <sheet name="Au" sheetId="2" r:id="rId2"/>
    <sheet name="Cu" sheetId="5" r:id="rId3"/>
    <sheet name="Sheet2" sheetId="10" r:id="rId4"/>
    <sheet name="Ag" sheetId="3" r:id="rId5"/>
    <sheet name="Zn" sheetId="7" r:id="rId6"/>
    <sheet name="Pt" sheetId="4" r:id="rId7"/>
    <sheet name="Ni" sheetId="6" r:id="rId8"/>
    <sheet name="Fe" sheetId="8" r:id="rId9"/>
    <sheet name="Sheet1" sheetId="9" r:id="rId10"/>
    <sheet name="Sheet3" sheetId="11" r:id="rId11"/>
  </sheets>
  <externalReferences>
    <externalReference r:id="rId1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18" i="5" l="1"/>
  <c r="AS19" i="5"/>
  <c r="AS20" i="5"/>
  <c r="AS21" i="5"/>
  <c r="AS22" i="5"/>
  <c r="AS23" i="5"/>
  <c r="AS24" i="5"/>
  <c r="AS25" i="5"/>
  <c r="AS26" i="5"/>
  <c r="AS27" i="5"/>
  <c r="AS28" i="5"/>
  <c r="AS29" i="5"/>
  <c r="AS30" i="5"/>
  <c r="AS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17" i="5"/>
  <c r="AD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17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18" i="5"/>
  <c r="AB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17" i="5"/>
  <c r="AD4" i="5"/>
  <c r="AE4" i="5"/>
  <c r="AJ4" i="5"/>
  <c r="AK4" i="5"/>
  <c r="AP4" i="5"/>
  <c r="AL4" i="5"/>
  <c r="AM4" i="5"/>
  <c r="AN4" i="5"/>
  <c r="AO4" i="5"/>
  <c r="AQ4" i="5"/>
  <c r="AD5" i="5"/>
  <c r="AE5" i="5"/>
  <c r="AF5" i="5"/>
  <c r="AH5" i="5"/>
  <c r="AJ5" i="5"/>
  <c r="AK5" i="5"/>
  <c r="AP5" i="5"/>
  <c r="AL5" i="5"/>
  <c r="AM5" i="5"/>
  <c r="AN5" i="5"/>
  <c r="AO5" i="5"/>
  <c r="AQ5" i="5"/>
  <c r="AD6" i="5"/>
  <c r="AE6" i="5"/>
  <c r="AF6" i="5"/>
  <c r="AH6" i="5"/>
  <c r="AJ6" i="5"/>
  <c r="AK6" i="5"/>
  <c r="AP6" i="5"/>
  <c r="AL6" i="5"/>
  <c r="AM6" i="5"/>
  <c r="AN6" i="5"/>
  <c r="AO6" i="5"/>
  <c r="AQ6" i="5"/>
  <c r="AD7" i="5"/>
  <c r="AE7" i="5"/>
  <c r="AF7" i="5"/>
  <c r="AH7" i="5"/>
  <c r="AJ7" i="5"/>
  <c r="AK7" i="5"/>
  <c r="AP7" i="5"/>
  <c r="AL7" i="5"/>
  <c r="AM7" i="5"/>
  <c r="AN7" i="5"/>
  <c r="AO7" i="5"/>
  <c r="AQ7" i="5"/>
  <c r="AD8" i="5"/>
  <c r="AE8" i="5"/>
  <c r="AF8" i="5"/>
  <c r="AG8" i="5"/>
  <c r="AH8" i="5"/>
  <c r="AI8" i="5"/>
  <c r="AJ8" i="5"/>
  <c r="AK8" i="5"/>
  <c r="AP8" i="5"/>
  <c r="AL8" i="5"/>
  <c r="AM8" i="5"/>
  <c r="AN8" i="5"/>
  <c r="AO8" i="5"/>
  <c r="AQ8" i="5"/>
  <c r="AD9" i="5"/>
  <c r="AE9" i="5"/>
  <c r="AF9" i="5"/>
  <c r="AG9" i="5"/>
  <c r="AH9" i="5"/>
  <c r="AJ9" i="5"/>
  <c r="AK9" i="5"/>
  <c r="AP9" i="5"/>
  <c r="AL9" i="5"/>
  <c r="AM9" i="5"/>
  <c r="AN9" i="5"/>
  <c r="AO9" i="5"/>
  <c r="AQ9" i="5"/>
  <c r="AJ10" i="5"/>
  <c r="AK10" i="5"/>
  <c r="AP10" i="5"/>
  <c r="AL10" i="5"/>
  <c r="AM10" i="5"/>
  <c r="AN10" i="5"/>
  <c r="AO10" i="5"/>
  <c r="AQ10" i="5"/>
  <c r="AJ11" i="5"/>
  <c r="AK11" i="5"/>
  <c r="AP11" i="5"/>
  <c r="AL11" i="5"/>
  <c r="AM11" i="5"/>
  <c r="AN11" i="5"/>
  <c r="AO11" i="5"/>
  <c r="AQ11" i="5"/>
  <c r="AJ12" i="5"/>
  <c r="AK12" i="5"/>
  <c r="AP12" i="5"/>
  <c r="AL12" i="5"/>
  <c r="AM12" i="5"/>
  <c r="AN12" i="5"/>
  <c r="AO12" i="5"/>
  <c r="AQ12" i="5"/>
  <c r="AJ13" i="5"/>
  <c r="AK13" i="5"/>
  <c r="AP13" i="5"/>
  <c r="AQ13" i="5"/>
  <c r="AR4" i="5"/>
  <c r="AS4" i="5"/>
  <c r="AT4" i="5"/>
  <c r="AU4" i="5"/>
  <c r="AV4" i="5"/>
  <c r="AW4" i="5"/>
  <c r="AR5" i="5"/>
  <c r="AS5" i="5"/>
  <c r="AT5" i="5"/>
  <c r="AU5" i="5"/>
  <c r="AV5" i="5"/>
  <c r="AW5" i="5"/>
  <c r="AR6" i="5"/>
  <c r="AS6" i="5"/>
  <c r="AT6" i="5"/>
  <c r="AU6" i="5"/>
  <c r="AV6" i="5"/>
  <c r="AW6" i="5"/>
  <c r="AR7" i="5"/>
  <c r="AS7" i="5"/>
  <c r="AT7" i="5"/>
  <c r="AU7" i="5"/>
  <c r="AV7" i="5"/>
  <c r="AW7" i="5"/>
  <c r="AR8" i="5"/>
  <c r="AS8" i="5"/>
  <c r="AT8" i="5"/>
  <c r="AU8" i="5"/>
  <c r="AV8" i="5"/>
  <c r="AW8" i="5"/>
  <c r="AR9" i="5"/>
  <c r="AS9" i="5"/>
  <c r="AT9" i="5"/>
  <c r="AU9" i="5"/>
  <c r="AV9" i="5"/>
  <c r="AW9" i="5"/>
  <c r="AR10" i="5"/>
  <c r="AS10" i="5"/>
  <c r="AT10" i="5"/>
  <c r="AU10" i="5"/>
  <c r="AV10" i="5"/>
  <c r="AW10" i="5"/>
  <c r="AR11" i="5"/>
  <c r="AS11" i="5"/>
  <c r="AT11" i="5"/>
  <c r="AU11" i="5"/>
  <c r="AV11" i="5"/>
  <c r="AW11" i="5"/>
  <c r="AR12" i="5"/>
  <c r="AS12" i="5"/>
  <c r="AT12" i="5"/>
  <c r="AU12" i="5"/>
  <c r="AV12" i="5"/>
  <c r="AW12" i="5"/>
  <c r="AR13" i="5"/>
  <c r="AS13" i="5"/>
  <c r="AT13" i="5"/>
  <c r="AU13" i="5"/>
  <c r="AF17" i="5"/>
  <c r="AF18" i="5"/>
  <c r="AF19" i="5"/>
  <c r="AF20" i="5"/>
  <c r="AF21" i="5"/>
  <c r="AF22" i="5"/>
  <c r="AF24" i="5"/>
  <c r="AF25" i="5"/>
  <c r="AF26" i="5"/>
  <c r="AF27" i="5"/>
  <c r="AF28" i="5"/>
  <c r="AF29" i="5"/>
  <c r="AF30" i="5"/>
  <c r="AF23" i="5"/>
  <c r="A17" i="5"/>
  <c r="A18" i="5"/>
  <c r="A19" i="5"/>
  <c r="A20" i="5"/>
  <c r="A21" i="5"/>
  <c r="A22" i="5"/>
  <c r="A23" i="5"/>
  <c r="A24" i="5"/>
  <c r="A25" i="5"/>
  <c r="A16" i="5"/>
  <c r="AF7" i="6"/>
  <c r="AF6" i="6"/>
  <c r="AF8" i="6"/>
  <c r="AF9" i="6"/>
  <c r="AF10" i="6"/>
  <c r="AF5" i="6"/>
  <c r="AD6" i="6"/>
  <c r="AD7" i="6"/>
  <c r="AD8" i="6"/>
  <c r="AD9" i="6"/>
  <c r="AD10" i="6"/>
  <c r="AD5" i="6"/>
  <c r="H8" i="8"/>
  <c r="I8" i="8"/>
  <c r="I9" i="8"/>
  <c r="I10" i="8"/>
  <c r="N17" i="5"/>
  <c r="M17" i="5"/>
  <c r="M25" i="5"/>
  <c r="N25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17" i="5"/>
  <c r="AD23" i="5"/>
  <c r="W5" i="5"/>
  <c r="W4" i="5"/>
  <c r="U5" i="5"/>
  <c r="X5" i="5"/>
  <c r="U4" i="5"/>
  <c r="X4" i="5"/>
  <c r="Y4" i="5"/>
  <c r="Z4" i="5"/>
  <c r="AC4" i="5"/>
  <c r="AN18" i="5"/>
  <c r="AN19" i="5"/>
  <c r="AN20" i="5"/>
  <c r="AN21" i="5"/>
  <c r="AN22" i="5"/>
  <c r="AN23" i="5"/>
  <c r="AN24" i="5"/>
  <c r="AN25" i="5"/>
  <c r="AN17" i="5"/>
  <c r="AM18" i="5"/>
  <c r="AM19" i="5"/>
  <c r="AM20" i="5"/>
  <c r="AM21" i="5"/>
  <c r="AM22" i="5"/>
  <c r="AM23" i="5"/>
  <c r="AM24" i="5"/>
  <c r="AM25" i="5"/>
  <c r="AM17" i="5"/>
  <c r="Y5" i="5"/>
  <c r="Z5" i="5"/>
  <c r="AA5" i="5"/>
  <c r="AB5" i="5"/>
  <c r="AC5" i="5"/>
  <c r="Y6" i="5"/>
  <c r="Z6" i="5"/>
  <c r="AA6" i="5"/>
  <c r="AB6" i="5"/>
  <c r="AC6" i="5"/>
  <c r="Y7" i="5"/>
  <c r="Z7" i="5"/>
  <c r="AA7" i="5"/>
  <c r="AB7" i="5"/>
  <c r="AC7" i="5"/>
  <c r="Y8" i="5"/>
  <c r="Z8" i="5"/>
  <c r="AA8" i="5"/>
  <c r="AB8" i="5"/>
  <c r="AC8" i="5"/>
  <c r="Y9" i="5"/>
  <c r="Z9" i="5"/>
  <c r="AB9" i="5"/>
  <c r="AC9" i="5"/>
  <c r="Y10" i="5"/>
  <c r="Y11" i="5"/>
  <c r="Y12" i="5"/>
  <c r="U12" i="5"/>
  <c r="AD18" i="5"/>
  <c r="AD19" i="5"/>
  <c r="AD20" i="5"/>
  <c r="AD21" i="5"/>
  <c r="AD22" i="5"/>
  <c r="AD24" i="5"/>
  <c r="AD25" i="5"/>
  <c r="AD26" i="5"/>
  <c r="AD27" i="5"/>
  <c r="AD28" i="5"/>
  <c r="AD29" i="5"/>
  <c r="AD30" i="5"/>
  <c r="AF74" i="5"/>
  <c r="AB72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25" i="5"/>
  <c r="L17" i="5"/>
  <c r="H47" i="5"/>
  <c r="H48" i="5"/>
  <c r="H49" i="5"/>
  <c r="H50" i="5"/>
  <c r="H51" i="5"/>
  <c r="H52" i="5"/>
  <c r="H53" i="5"/>
  <c r="H54" i="5"/>
  <c r="H55" i="5"/>
  <c r="H46" i="5"/>
  <c r="L18" i="5"/>
  <c r="M18" i="5"/>
  <c r="N18" i="5"/>
  <c r="L19" i="5"/>
  <c r="M19" i="5"/>
  <c r="N19" i="5"/>
  <c r="L20" i="5"/>
  <c r="M20" i="5"/>
  <c r="N20" i="5"/>
  <c r="L21" i="5"/>
  <c r="M21" i="5"/>
  <c r="N21" i="5"/>
  <c r="L22" i="5"/>
  <c r="M22" i="5"/>
  <c r="N22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61" i="5"/>
  <c r="H61" i="5"/>
  <c r="E47" i="5"/>
  <c r="E48" i="5"/>
  <c r="E49" i="5"/>
  <c r="E50" i="5"/>
  <c r="E51" i="5"/>
  <c r="E52" i="5"/>
  <c r="E53" i="5"/>
  <c r="E54" i="5"/>
  <c r="E55" i="5"/>
  <c r="E46" i="5"/>
  <c r="K62" i="5"/>
  <c r="K63" i="5"/>
  <c r="K64" i="5"/>
  <c r="K65" i="5"/>
  <c r="K61" i="5"/>
  <c r="J51" i="5"/>
  <c r="J50" i="5"/>
  <c r="J49" i="5"/>
  <c r="J48" i="5"/>
  <c r="J47" i="5"/>
  <c r="J46" i="5"/>
  <c r="X6" i="2"/>
  <c r="X7" i="2"/>
  <c r="X8" i="2"/>
  <c r="X9" i="2"/>
  <c r="X10" i="2"/>
  <c r="X11" i="2"/>
  <c r="X12" i="2"/>
  <c r="X5" i="2"/>
  <c r="X6" i="5"/>
  <c r="U6" i="5"/>
  <c r="X7" i="5"/>
  <c r="U7" i="5"/>
  <c r="X8" i="5"/>
  <c r="U8" i="5"/>
  <c r="X9" i="5"/>
  <c r="U9" i="5"/>
  <c r="U10" i="5"/>
  <c r="U11" i="5"/>
  <c r="G5" i="1"/>
  <c r="G4" i="1"/>
  <c r="H10" i="1"/>
  <c r="I9" i="1"/>
  <c r="J9" i="1"/>
  <c r="H9" i="1"/>
  <c r="G7" i="1"/>
  <c r="G8" i="1"/>
  <c r="G6" i="1"/>
  <c r="H9" i="8"/>
  <c r="H10" i="8"/>
  <c r="Q6" i="6"/>
  <c r="Q7" i="6"/>
  <c r="Q8" i="6"/>
  <c r="Q9" i="6"/>
  <c r="Q10" i="6"/>
  <c r="Q5" i="6"/>
  <c r="N11" i="2"/>
  <c r="N9" i="2"/>
  <c r="K6" i="2"/>
  <c r="L6" i="2"/>
  <c r="K7" i="2"/>
  <c r="L7" i="2"/>
  <c r="D7" i="2"/>
  <c r="M7" i="2"/>
  <c r="K8" i="2"/>
  <c r="L8" i="2"/>
  <c r="K9" i="2"/>
  <c r="L9" i="2"/>
  <c r="K10" i="2"/>
  <c r="L10" i="2"/>
  <c r="N10" i="2"/>
  <c r="K11" i="2"/>
  <c r="L11" i="2"/>
  <c r="K12" i="2"/>
  <c r="L12" i="2"/>
  <c r="N12" i="2"/>
  <c r="L5" i="2"/>
  <c r="K5" i="2"/>
  <c r="D12" i="2"/>
  <c r="M12" i="2"/>
  <c r="T12" i="2"/>
  <c r="D11" i="2"/>
  <c r="M11" i="2"/>
  <c r="D10" i="2"/>
  <c r="M10" i="2"/>
  <c r="T10" i="2"/>
  <c r="D9" i="2"/>
  <c r="M9" i="2"/>
  <c r="S9" i="2"/>
  <c r="D8" i="2"/>
  <c r="M8" i="2"/>
  <c r="D6" i="2"/>
  <c r="M6" i="2"/>
  <c r="T6" i="2"/>
  <c r="D5" i="2"/>
  <c r="M5" i="2"/>
  <c r="P5" i="2"/>
  <c r="O5" i="2"/>
  <c r="R5" i="2"/>
  <c r="G5" i="2"/>
  <c r="O11" i="2"/>
  <c r="R11" i="2"/>
  <c r="G12" i="2"/>
  <c r="O12" i="2"/>
  <c r="I5" i="4"/>
  <c r="H7" i="4"/>
  <c r="I5" i="6"/>
  <c r="I6" i="6"/>
  <c r="I7" i="6"/>
  <c r="I8" i="6"/>
  <c r="I9" i="6"/>
  <c r="I10" i="6"/>
  <c r="I4" i="6"/>
  <c r="T5" i="6"/>
  <c r="T6" i="6"/>
  <c r="T7" i="6"/>
  <c r="T8" i="6"/>
  <c r="T9" i="6"/>
  <c r="T10" i="6"/>
  <c r="T4" i="6"/>
  <c r="R9" i="6"/>
  <c r="S6" i="6"/>
  <c r="J10" i="6"/>
  <c r="Q11" i="2"/>
  <c r="L52" i="9"/>
  <c r="L41" i="9"/>
  <c r="L36" i="9"/>
  <c r="D60" i="9"/>
  <c r="L57" i="9"/>
  <c r="L56" i="9"/>
  <c r="L53" i="9"/>
  <c r="L49" i="9"/>
  <c r="L46" i="9"/>
  <c r="L40" i="9"/>
  <c r="L45" i="9"/>
  <c r="L42" i="9"/>
  <c r="L37" i="9"/>
  <c r="L35" i="9"/>
  <c r="L15" i="7"/>
  <c r="L21" i="7"/>
  <c r="L14" i="7"/>
  <c r="L20" i="7"/>
  <c r="U5" i="6"/>
  <c r="J12" i="7"/>
  <c r="K12" i="7"/>
  <c r="J13" i="7"/>
  <c r="K13" i="7"/>
  <c r="J14" i="7"/>
  <c r="K14" i="7"/>
  <c r="J15" i="7"/>
  <c r="K15" i="7"/>
  <c r="J16" i="7"/>
  <c r="K16" i="7"/>
  <c r="L16" i="7"/>
  <c r="M16" i="7"/>
  <c r="L22" i="7"/>
  <c r="J17" i="7"/>
  <c r="K17" i="7"/>
  <c r="L17" i="7"/>
  <c r="M17" i="7"/>
  <c r="L23" i="7"/>
  <c r="I13" i="7"/>
  <c r="I14" i="7"/>
  <c r="I15" i="7"/>
  <c r="I16" i="7"/>
  <c r="I17" i="7"/>
  <c r="I18" i="7"/>
  <c r="I12" i="7"/>
  <c r="F11" i="2"/>
  <c r="F10" i="2"/>
  <c r="L5" i="3"/>
  <c r="L6" i="3"/>
  <c r="L7" i="3"/>
  <c r="L8" i="3"/>
  <c r="L9" i="3"/>
  <c r="L10" i="3"/>
  <c r="L11" i="3"/>
  <c r="L12" i="3"/>
  <c r="L13" i="3"/>
  <c r="L14" i="3"/>
  <c r="L15" i="3"/>
  <c r="L16" i="3"/>
  <c r="L4" i="3"/>
  <c r="S4" i="3"/>
  <c r="AC4" i="3"/>
  <c r="Y4" i="3"/>
  <c r="W16" i="3"/>
  <c r="V16" i="3"/>
  <c r="W14" i="3"/>
  <c r="V14" i="3"/>
  <c r="W13" i="3"/>
  <c r="U5" i="3"/>
  <c r="W4" i="3"/>
  <c r="Z10" i="3"/>
  <c r="U7" i="3"/>
  <c r="U4" i="3"/>
  <c r="S15" i="3"/>
  <c r="G6" i="2"/>
  <c r="G7" i="2"/>
  <c r="G8" i="2"/>
  <c r="G9" i="2"/>
  <c r="G10" i="2"/>
  <c r="G11" i="2"/>
  <c r="H5" i="7"/>
  <c r="H6" i="7"/>
  <c r="H7" i="7"/>
  <c r="H8" i="7"/>
  <c r="H9" i="7"/>
  <c r="H10" i="7"/>
  <c r="H4" i="7"/>
  <c r="H5" i="4"/>
  <c r="H6" i="4"/>
  <c r="H8" i="4"/>
  <c r="H9" i="4"/>
  <c r="H4" i="4"/>
  <c r="J5" i="6"/>
  <c r="J6" i="6"/>
  <c r="J7" i="6"/>
  <c r="J8" i="6"/>
  <c r="J9" i="6"/>
  <c r="J4" i="6"/>
  <c r="S5" i="5"/>
  <c r="S6" i="5"/>
  <c r="S7" i="5"/>
  <c r="S8" i="5"/>
  <c r="S9" i="5"/>
  <c r="S10" i="5"/>
  <c r="S11" i="5"/>
  <c r="S12" i="5"/>
  <c r="S13" i="5"/>
  <c r="S4" i="5"/>
  <c r="O5" i="7"/>
  <c r="O6" i="7"/>
  <c r="O7" i="7"/>
  <c r="O8" i="7"/>
  <c r="O9" i="7"/>
  <c r="O4" i="7"/>
  <c r="S5" i="6"/>
  <c r="S7" i="6"/>
  <c r="S8" i="6"/>
  <c r="S9" i="6"/>
  <c r="S10" i="6"/>
  <c r="S4" i="6"/>
  <c r="U6" i="3"/>
  <c r="U8" i="3"/>
  <c r="U9" i="3"/>
  <c r="U10" i="3"/>
  <c r="U11" i="3"/>
  <c r="U12" i="3"/>
  <c r="U13" i="3"/>
  <c r="U14" i="3"/>
  <c r="U16" i="3"/>
  <c r="U9" i="2"/>
  <c r="U10" i="2"/>
  <c r="U12" i="2"/>
  <c r="T7" i="2"/>
  <c r="T8" i="2"/>
  <c r="T9" i="2"/>
  <c r="T11" i="2"/>
  <c r="T5" i="2"/>
  <c r="S6" i="2"/>
  <c r="S7" i="2"/>
  <c r="S8" i="2"/>
  <c r="S10" i="2"/>
  <c r="S11" i="2"/>
  <c r="S12" i="2"/>
  <c r="S5" i="2"/>
  <c r="P6" i="2"/>
  <c r="P7" i="2"/>
  <c r="P8" i="2"/>
  <c r="P9" i="2"/>
  <c r="P10" i="2"/>
  <c r="P11" i="2"/>
  <c r="P12" i="2"/>
  <c r="O6" i="2"/>
  <c r="R6" i="2"/>
  <c r="O7" i="2"/>
  <c r="R7" i="2"/>
  <c r="O8" i="2"/>
  <c r="R8" i="2"/>
  <c r="O9" i="2"/>
  <c r="O10" i="2"/>
  <c r="Q10" i="2"/>
  <c r="R12" i="2"/>
  <c r="F6" i="2"/>
  <c r="F7" i="2"/>
  <c r="F8" i="2"/>
  <c r="F9" i="2"/>
  <c r="F12" i="2"/>
  <c r="F5" i="2"/>
  <c r="V13" i="3"/>
  <c r="R9" i="2"/>
  <c r="Q9" i="2"/>
  <c r="Q12" i="2"/>
  <c r="R10" i="2"/>
  <c r="B7" i="7"/>
  <c r="T6" i="7"/>
  <c r="U6" i="7"/>
  <c r="T7" i="7"/>
  <c r="U7" i="7"/>
  <c r="T8" i="7"/>
  <c r="U8" i="7"/>
  <c r="T9" i="7"/>
  <c r="U9" i="7"/>
  <c r="AA5" i="6"/>
  <c r="AB5" i="6"/>
  <c r="AA6" i="6"/>
  <c r="AB6" i="6"/>
  <c r="AA7" i="6"/>
  <c r="AB7" i="6"/>
  <c r="AA8" i="6"/>
  <c r="AB8" i="6"/>
  <c r="AA9" i="6"/>
  <c r="AB9" i="6"/>
  <c r="AA10" i="6"/>
  <c r="AB10" i="6"/>
  <c r="AB13" i="3"/>
  <c r="AB14" i="3"/>
  <c r="AB16" i="3"/>
  <c r="AA16" i="3"/>
  <c r="AA13" i="3"/>
  <c r="AA14" i="3"/>
  <c r="Y5" i="3"/>
  <c r="Z5" i="3"/>
  <c r="Y6" i="3"/>
  <c r="Z6" i="3"/>
  <c r="Y7" i="3"/>
  <c r="Z7" i="3"/>
  <c r="Y8" i="3"/>
  <c r="Z8" i="3"/>
  <c r="Y9" i="3"/>
  <c r="Z9" i="3"/>
  <c r="Y10" i="3"/>
  <c r="Y11" i="3"/>
  <c r="Z11" i="3"/>
  <c r="Y12" i="3"/>
  <c r="Z12" i="3"/>
  <c r="Y13" i="3"/>
  <c r="Z13" i="3"/>
  <c r="Y14" i="3"/>
  <c r="Z14" i="3"/>
  <c r="Y16" i="3"/>
  <c r="Z16" i="3"/>
  <c r="Z4" i="3"/>
  <c r="Z6" i="6"/>
  <c r="Z7" i="6"/>
  <c r="Z8" i="6"/>
  <c r="Z9" i="6"/>
  <c r="Z10" i="6"/>
  <c r="S5" i="7"/>
  <c r="S6" i="7"/>
  <c r="S7" i="7"/>
  <c r="S8" i="7"/>
  <c r="S9" i="7"/>
  <c r="K10" i="7"/>
  <c r="J10" i="7"/>
  <c r="S10" i="7"/>
  <c r="S4" i="7"/>
  <c r="R5" i="7"/>
  <c r="R6" i="7"/>
  <c r="R7" i="7"/>
  <c r="R8" i="7"/>
  <c r="R9" i="7"/>
  <c r="R4" i="7"/>
  <c r="N8" i="7"/>
  <c r="Q8" i="7"/>
  <c r="P8" i="7"/>
  <c r="W6" i="3"/>
  <c r="W7" i="3"/>
  <c r="W8" i="3"/>
  <c r="W9" i="3"/>
  <c r="W10" i="3"/>
  <c r="W11" i="3"/>
  <c r="W12" i="3"/>
  <c r="V5" i="6"/>
  <c r="U7" i="6"/>
  <c r="V7" i="6"/>
  <c r="U6" i="6"/>
  <c r="U8" i="6"/>
  <c r="U9" i="6"/>
  <c r="V9" i="6"/>
  <c r="U10" i="6"/>
  <c r="U4" i="6"/>
  <c r="W5" i="3"/>
  <c r="O4" i="4"/>
  <c r="M10" i="7"/>
  <c r="M18" i="7"/>
  <c r="L10" i="7"/>
  <c r="L18" i="7"/>
  <c r="K18" i="7"/>
  <c r="M9" i="4"/>
  <c r="L9" i="4"/>
  <c r="K9" i="4"/>
  <c r="J9" i="4"/>
  <c r="AH15" i="3"/>
  <c r="Z15" i="3"/>
  <c r="AA15" i="3"/>
  <c r="V5" i="5"/>
  <c r="S5" i="3"/>
  <c r="S6" i="3"/>
  <c r="S7" i="3"/>
  <c r="S8" i="3"/>
  <c r="S9" i="3"/>
  <c r="S10" i="3"/>
  <c r="S11" i="3"/>
  <c r="S12" i="3"/>
  <c r="S13" i="3"/>
  <c r="S14" i="3"/>
  <c r="T15" i="3"/>
  <c r="S16" i="3"/>
  <c r="T4" i="3"/>
  <c r="AI15" i="3"/>
  <c r="N5" i="7"/>
  <c r="N13" i="7"/>
  <c r="N6" i="7"/>
  <c r="N14" i="7"/>
  <c r="N7" i="7"/>
  <c r="N15" i="7"/>
  <c r="N16" i="7"/>
  <c r="N9" i="7"/>
  <c r="N17" i="7"/>
  <c r="N4" i="7"/>
  <c r="N12" i="7"/>
  <c r="X9" i="6"/>
  <c r="Q4" i="6"/>
  <c r="R4" i="6"/>
  <c r="N4" i="4"/>
  <c r="B5" i="7"/>
  <c r="B6" i="7"/>
  <c r="B8" i="7"/>
  <c r="B9" i="7"/>
  <c r="B4" i="7"/>
  <c r="AH16" i="3"/>
  <c r="AG16" i="3"/>
  <c r="AF16" i="3"/>
  <c r="AE16" i="3"/>
  <c r="AD16" i="3"/>
  <c r="AC16" i="3"/>
  <c r="AF15" i="3"/>
  <c r="AE15" i="3"/>
  <c r="AD15" i="3"/>
  <c r="AC15" i="3"/>
  <c r="AH14" i="3"/>
  <c r="AG14" i="3"/>
  <c r="AF14" i="3"/>
  <c r="AE14" i="3"/>
  <c r="AD14" i="3"/>
  <c r="AC14" i="3"/>
  <c r="AH13" i="3"/>
  <c r="AG13" i="3"/>
  <c r="AF13" i="3"/>
  <c r="AE13" i="3"/>
  <c r="AD13" i="3"/>
  <c r="AC13" i="3"/>
  <c r="AH12" i="3"/>
  <c r="AG12" i="3"/>
  <c r="AD12" i="3"/>
  <c r="AJ12" i="3"/>
  <c r="AF12" i="3"/>
  <c r="AE12" i="3"/>
  <c r="AC12" i="3"/>
  <c r="AH11" i="3"/>
  <c r="AG11" i="3"/>
  <c r="AF11" i="3"/>
  <c r="AE11" i="3"/>
  <c r="AD11" i="3"/>
  <c r="AC11" i="3"/>
  <c r="AH10" i="3"/>
  <c r="AG10" i="3"/>
  <c r="AD10" i="3"/>
  <c r="AJ10" i="3"/>
  <c r="AF10" i="3"/>
  <c r="AE10" i="3"/>
  <c r="AC10" i="3"/>
  <c r="AH9" i="3"/>
  <c r="AG9" i="3"/>
  <c r="AF9" i="3"/>
  <c r="AE9" i="3"/>
  <c r="AD9" i="3"/>
  <c r="AC9" i="3"/>
  <c r="AH8" i="3"/>
  <c r="AG8" i="3"/>
  <c r="AD8" i="3"/>
  <c r="AJ8" i="3"/>
  <c r="AF8" i="3"/>
  <c r="AE8" i="3"/>
  <c r="AC8" i="3"/>
  <c r="AH7" i="3"/>
  <c r="AG7" i="3"/>
  <c r="AF7" i="3"/>
  <c r="AE7" i="3"/>
  <c r="AD7" i="3"/>
  <c r="AC7" i="3"/>
  <c r="AH6" i="3"/>
  <c r="AG6" i="3"/>
  <c r="AD6" i="3"/>
  <c r="AJ6" i="3"/>
  <c r="AF6" i="3"/>
  <c r="AE6" i="3"/>
  <c r="AC6" i="3"/>
  <c r="AH5" i="3"/>
  <c r="AG5" i="3"/>
  <c r="AF5" i="3"/>
  <c r="AE5" i="3"/>
  <c r="AD5" i="3"/>
  <c r="AC5" i="3"/>
  <c r="AH4" i="3"/>
  <c r="AG4" i="3"/>
  <c r="AD4" i="3"/>
  <c r="AJ4" i="3"/>
  <c r="AF4" i="3"/>
  <c r="AE4" i="3"/>
  <c r="AJ14" i="3"/>
  <c r="AJ5" i="3"/>
  <c r="AJ7" i="3"/>
  <c r="AJ9" i="3"/>
  <c r="AJ11" i="3"/>
  <c r="AJ13" i="3"/>
  <c r="AJ16" i="3"/>
  <c r="T13" i="3"/>
  <c r="X13" i="3"/>
  <c r="AI7" i="3"/>
  <c r="N10" i="7"/>
  <c r="T16" i="3"/>
  <c r="T12" i="3"/>
  <c r="T8" i="3"/>
  <c r="N9" i="4"/>
  <c r="O10" i="7"/>
  <c r="J18" i="7"/>
  <c r="P7" i="7"/>
  <c r="Q4" i="7"/>
  <c r="Q7" i="7"/>
  <c r="R10" i="7"/>
  <c r="T5" i="3"/>
  <c r="T11" i="3"/>
  <c r="T7" i="3"/>
  <c r="P6" i="7"/>
  <c r="Q6" i="7"/>
  <c r="U10" i="7"/>
  <c r="T9" i="3"/>
  <c r="B10" i="7"/>
  <c r="T14" i="3"/>
  <c r="T10" i="3"/>
  <c r="T6" i="3"/>
  <c r="L24" i="7"/>
  <c r="P9" i="7"/>
  <c r="Q9" i="7"/>
  <c r="Q5" i="7"/>
  <c r="T10" i="7"/>
  <c r="O9" i="4"/>
  <c r="X8" i="6"/>
  <c r="R8" i="6"/>
  <c r="X6" i="6"/>
  <c r="R6" i="6"/>
  <c r="X7" i="6"/>
  <c r="R7" i="6"/>
  <c r="X5" i="6"/>
  <c r="R5" i="6"/>
  <c r="V10" i="6"/>
  <c r="V8" i="6"/>
  <c r="V6" i="6"/>
  <c r="W8" i="6"/>
  <c r="W6" i="6"/>
  <c r="W9" i="6"/>
  <c r="W7" i="6"/>
  <c r="W5" i="6"/>
  <c r="AI9" i="3"/>
  <c r="AI11" i="3"/>
  <c r="AI13" i="3"/>
  <c r="AI4" i="3"/>
  <c r="AI5" i="3"/>
  <c r="AI6" i="3"/>
  <c r="AI8" i="3"/>
  <c r="AI10" i="3"/>
  <c r="AI12" i="3"/>
  <c r="AI14" i="3"/>
  <c r="AI16" i="3"/>
  <c r="AG15" i="3"/>
  <c r="AJ15" i="3"/>
  <c r="Y15" i="3"/>
  <c r="AB15" i="3"/>
  <c r="X16" i="3"/>
  <c r="W15" i="3"/>
  <c r="X15" i="3"/>
  <c r="U15" i="3"/>
  <c r="X14" i="3"/>
  <c r="B10" i="8"/>
  <c r="F10" i="8"/>
  <c r="B9" i="8"/>
  <c r="F9" i="8"/>
  <c r="B8" i="8"/>
  <c r="F8" i="8"/>
  <c r="B7" i="8"/>
  <c r="F7" i="8"/>
  <c r="B6" i="8"/>
  <c r="F6" i="8"/>
  <c r="B5" i="8"/>
  <c r="F5" i="8"/>
  <c r="B4" i="8"/>
  <c r="F4" i="8"/>
  <c r="J5" i="4"/>
  <c r="N5" i="4"/>
  <c r="J6" i="4"/>
  <c r="K6" i="4"/>
  <c r="L6" i="4"/>
  <c r="N6" i="4"/>
  <c r="J7" i="4"/>
  <c r="K7" i="4"/>
  <c r="L7" i="4"/>
  <c r="M7" i="4"/>
  <c r="N7" i="4"/>
  <c r="J8" i="4"/>
  <c r="K8" i="4"/>
  <c r="L8" i="4"/>
  <c r="M8" i="4"/>
  <c r="N8" i="4"/>
  <c r="I9" i="4"/>
  <c r="I8" i="4"/>
  <c r="I7" i="4"/>
  <c r="I6" i="4"/>
  <c r="I4" i="4"/>
  <c r="V15" i="3"/>
  <c r="N18" i="7"/>
  <c r="Q10" i="7"/>
  <c r="P10" i="7"/>
  <c r="O8" i="4"/>
  <c r="O7" i="4"/>
  <c r="O5" i="4"/>
  <c r="O6" i="4"/>
  <c r="X10" i="6"/>
  <c r="R10" i="6"/>
  <c r="W10" i="6"/>
  <c r="V4" i="5"/>
  <c r="V6" i="5"/>
  <c r="W6" i="5"/>
  <c r="V7" i="5"/>
  <c r="W7" i="5"/>
  <c r="V8" i="5"/>
  <c r="W8" i="5"/>
  <c r="V9" i="5"/>
  <c r="W9" i="5"/>
  <c r="V10" i="5"/>
  <c r="W10" i="5"/>
  <c r="V11" i="5"/>
  <c r="W11" i="5"/>
  <c r="V12" i="5"/>
  <c r="W12" i="5"/>
  <c r="V13" i="5"/>
  <c r="W13" i="5"/>
  <c r="T13" i="5"/>
  <c r="T12" i="5"/>
  <c r="T11" i="5"/>
  <c r="T10" i="5"/>
  <c r="T9" i="5"/>
  <c r="T8" i="5"/>
  <c r="T7" i="5"/>
  <c r="T6" i="5"/>
  <c r="T5" i="5"/>
  <c r="T4" i="5"/>
</calcChain>
</file>

<file path=xl/sharedStrings.xml><?xml version="1.0" encoding="utf-8"?>
<sst xmlns="http://schemas.openxmlformats.org/spreadsheetml/2006/main" count="592" uniqueCount="178">
  <si>
    <t>V vs RHE</t>
  </si>
  <si>
    <t xml:space="preserve">I </t>
  </si>
  <si>
    <t>mA/cm2</t>
  </si>
  <si>
    <t>Methanol</t>
  </si>
  <si>
    <t>Hydrogen</t>
  </si>
  <si>
    <t>CO</t>
  </si>
  <si>
    <t>Formate</t>
  </si>
  <si>
    <t>I</t>
  </si>
  <si>
    <t>Current Efficiency</t>
  </si>
  <si>
    <t>%</t>
  </si>
  <si>
    <t>V vs. RHE</t>
  </si>
  <si>
    <t>RHE IR corr</t>
  </si>
  <si>
    <t>Methane</t>
  </si>
  <si>
    <t>Ethylene</t>
  </si>
  <si>
    <t>Ethanol</t>
  </si>
  <si>
    <t>Glycolaldehyde</t>
  </si>
  <si>
    <t>Acetaldehyde</t>
  </si>
  <si>
    <t>Acetate</t>
  </si>
  <si>
    <t>Ethylene glycol</t>
  </si>
  <si>
    <t>n-Propanol</t>
  </si>
  <si>
    <t>Allyl alcohol</t>
  </si>
  <si>
    <t>Propionaldehyde</t>
  </si>
  <si>
    <t>Acetone</t>
  </si>
  <si>
    <t>Hydroxyacetone</t>
  </si>
  <si>
    <t>Ethane</t>
  </si>
  <si>
    <t>Au</t>
  </si>
  <si>
    <t>Ag</t>
  </si>
  <si>
    <t>Pt</t>
  </si>
  <si>
    <t>Cu</t>
  </si>
  <si>
    <t>Ni</t>
  </si>
  <si>
    <t>Fe</t>
  </si>
  <si>
    <t>hydrocarbons</t>
  </si>
  <si>
    <t>Partial Current Density</t>
  </si>
  <si>
    <t>Tafel Plot</t>
  </si>
  <si>
    <t>Voltage</t>
  </si>
  <si>
    <t>avg Ru</t>
  </si>
  <si>
    <t>avg I</t>
  </si>
  <si>
    <t>avg J (mA/cm2)</t>
  </si>
  <si>
    <t xml:space="preserve">H2 </t>
  </si>
  <si>
    <t xml:space="preserve">CH4 </t>
  </si>
  <si>
    <t>HCOO-</t>
  </si>
  <si>
    <t>MeOH</t>
  </si>
  <si>
    <t>EtOH</t>
  </si>
  <si>
    <t>--</t>
  </si>
  <si>
    <t>H2</t>
  </si>
  <si>
    <t>HCOO</t>
  </si>
  <si>
    <t>CH4</t>
  </si>
  <si>
    <t>Zn</t>
  </si>
  <si>
    <t>CO2</t>
  </si>
  <si>
    <t>co2</t>
  </si>
  <si>
    <t>Co2</t>
  </si>
  <si>
    <t>(for CO2 red current, not H2)</t>
  </si>
  <si>
    <t>Moles</t>
  </si>
  <si>
    <t>beyond CO2 - Ag</t>
  </si>
  <si>
    <t>(C2 + C3)/beyond CO2 - Ag</t>
  </si>
  <si>
    <t>(C2 + C3)/beyond CO2 - Cu</t>
  </si>
  <si>
    <t>beyond CO2</t>
  </si>
  <si>
    <t>(C2+C3)/beyond CO2 - Ni</t>
  </si>
  <si>
    <t>beyond 2 e- / CO2 partial current</t>
  </si>
  <si>
    <t>CO2:H2</t>
  </si>
  <si>
    <t>CO/2 e-</t>
  </si>
  <si>
    <t>Formate/2 e-</t>
  </si>
  <si>
    <t>oxygenates/ beyond 2 e-</t>
  </si>
  <si>
    <t>hydrocarbons/beyond 2 e-</t>
  </si>
  <si>
    <t>beyond CO - Cu</t>
  </si>
  <si>
    <t>I mA/cm2</t>
  </si>
  <si>
    <t>Potential vs. RHE</t>
  </si>
  <si>
    <t>Current Density</t>
  </si>
  <si>
    <t>total</t>
  </si>
  <si>
    <t>CO2/cm2</t>
  </si>
  <si>
    <t>moles</t>
  </si>
  <si>
    <t>CO2 %</t>
  </si>
  <si>
    <t>co2 %</t>
  </si>
  <si>
    <t>Co2 %</t>
  </si>
  <si>
    <t>Co2 moles</t>
  </si>
  <si>
    <t>H2 - Zn</t>
  </si>
  <si>
    <t>CO - Zn</t>
  </si>
  <si>
    <t>HCOO - Zn</t>
  </si>
  <si>
    <t>CH4 - Zn</t>
  </si>
  <si>
    <t>MeOH - Zn</t>
  </si>
  <si>
    <t>CO2 - Zn</t>
  </si>
  <si>
    <t>reduced</t>
  </si>
  <si>
    <t>C2H4</t>
  </si>
  <si>
    <t>Total</t>
  </si>
  <si>
    <t>Used for volcano plot</t>
  </si>
  <si>
    <t xml:space="preserve">V </t>
  </si>
  <si>
    <t>uA/cm2</t>
  </si>
  <si>
    <t>Total CO2</t>
  </si>
  <si>
    <t>Metal</t>
  </si>
  <si>
    <t>ethylene</t>
  </si>
  <si>
    <t>ethane</t>
  </si>
  <si>
    <t xml:space="preserve">  </t>
  </si>
  <si>
    <t>Onset V vs. RHE</t>
  </si>
  <si>
    <t>methane</t>
  </si>
  <si>
    <t>Onset Products Detected</t>
  </si>
  <si>
    <t>Faradaic Efficiency</t>
  </si>
  <si>
    <t>vs. RHE</t>
  </si>
  <si>
    <t>AcO</t>
  </si>
  <si>
    <t>PrOH</t>
  </si>
  <si>
    <t>C2H6</t>
  </si>
  <si>
    <t>jCO</t>
  </si>
  <si>
    <t>CO (-)</t>
  </si>
  <si>
    <t>eta</t>
  </si>
  <si>
    <t>j (mA/cm2)</t>
  </si>
  <si>
    <t>OD Au</t>
  </si>
  <si>
    <t>pc Au</t>
  </si>
  <si>
    <t>potential</t>
  </si>
  <si>
    <t>Kanan formate</t>
  </si>
  <si>
    <t>HCOOH</t>
  </si>
  <si>
    <t>CH3OH</t>
  </si>
  <si>
    <t>ethanol</t>
  </si>
  <si>
    <t>correct for roughness</t>
  </si>
  <si>
    <t>total %</t>
  </si>
  <si>
    <t>KANAN</t>
  </si>
  <si>
    <t>Kanan ODCu1</t>
  </si>
  <si>
    <t>Kanan Cu NPs</t>
  </si>
  <si>
    <t>Kanan OD-Pb</t>
  </si>
  <si>
    <t>Kanan pc Pb</t>
  </si>
  <si>
    <t>equilibrium potentials (take from Kenis paper, relative to CO2(g)</t>
  </si>
  <si>
    <t xml:space="preserve">–0.20 –0.25 –0.30 –0.35 –0.40 –0.45 –0.50 –0.55 –0.60 –0.65 –0.70 –0.75 –0.80 –0.85 </t>
  </si>
  <si>
    <t>–0.20</t>
  </si>
  <si>
    <t>–0.25</t>
  </si>
  <si>
    <t>–0.30</t>
  </si>
  <si>
    <t>–0.35</t>
  </si>
  <si>
    <t>–0.40</t>
  </si>
  <si>
    <t>–0.45</t>
  </si>
  <si>
    <t>–0.50</t>
  </si>
  <si>
    <t>–0.55</t>
  </si>
  <si>
    <t>–0.60</t>
  </si>
  <si>
    <t>–0.65</t>
  </si>
  <si>
    <t>–0.70</t>
  </si>
  <si>
    <t>–0.75</t>
  </si>
  <si>
    <t>–0.80</t>
  </si>
  <si>
    <t>–0.85</t>
  </si>
  <si>
    <t>jtot</t>
  </si>
  <si>
    <t>mA</t>
  </si>
  <si>
    <t>cm–2</t>
  </si>
  <si>
    <t>Faradaic</t>
  </si>
  <si>
    <t>Efficiency</t>
  </si>
  <si>
    <t>/</t>
  </si>
  <si>
    <t>HCOO–</t>
  </si>
  <si>
    <t>MeCHO</t>
  </si>
  <si>
    <t>jtot (mAcm2)</t>
  </si>
  <si>
    <t>C2 j</t>
  </si>
  <si>
    <t>C2's</t>
  </si>
  <si>
    <t>&gt;2e- products from pc Cu [4]</t>
  </si>
  <si>
    <t>COR - Lei</t>
  </si>
  <si>
    <t>acetate</t>
  </si>
  <si>
    <t>n-propanol</t>
  </si>
  <si>
    <t>COR (Jaramillo)</t>
  </si>
  <si>
    <t>HCOO/area</t>
  </si>
  <si>
    <t>CO/area</t>
  </si>
  <si>
    <t>CO from pc Cu [Jaramillo]</t>
  </si>
  <si>
    <t>CO from OD-Cu [Kanan]</t>
  </si>
  <si>
    <t>C2+ products from OD-Cu [Kanan]</t>
  </si>
  <si>
    <t>C2+ from pc Cu [Jaramillo]</t>
  </si>
  <si>
    <t>HCOO from OD-Cu [Kanan]</t>
  </si>
  <si>
    <t>HCOOH from pc Cu [Jaramillo]</t>
  </si>
  <si>
    <t>C1's from pc Cu [Jaramillo]</t>
  </si>
  <si>
    <t>CH4 from pc Cu (COR) [Jaramillo]</t>
  </si>
  <si>
    <t>C2+ from pc Cu (COR) [Jaramillo]</t>
  </si>
  <si>
    <t>C2+ products from OD-Cu (COR) [Kanan]</t>
  </si>
  <si>
    <t>C2+ products from Cu NPs (COR) [Kanan]</t>
  </si>
  <si>
    <t>C2 / area</t>
  </si>
  <si>
    <t>H2/area</t>
  </si>
  <si>
    <t>COR</t>
  </si>
  <si>
    <t>CO2R on ODCu</t>
  </si>
  <si>
    <t>% CO2R</t>
  </si>
  <si>
    <t>% towards methane</t>
  </si>
  <si>
    <t>%methane</t>
  </si>
  <si>
    <t>-log j</t>
  </si>
  <si>
    <t>CO / area</t>
  </si>
  <si>
    <t>Voltage vs. SHE (V)</t>
  </si>
  <si>
    <t>C2H4/area</t>
  </si>
  <si>
    <t>C2H6/area</t>
  </si>
  <si>
    <t>PrOH/area</t>
  </si>
  <si>
    <t>EtOH/area</t>
  </si>
  <si>
    <t>MeCHO/area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</si>
</sst>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"/>
    <numFmt numFmtId="165" formatCode="0.000%"/>
    <numFmt numFmtId="166" formatCode="0.000"/>
    <numFmt numFmtId="167" formatCode="0.0"/>
    <numFmt numFmtId="168" formatCode="0.00000"/>
    <numFmt numFmtId="169" formatCode="0.0000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4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98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0" fontId="0" fillId="3" borderId="0" xfId="0" applyFill="1" applyAlignment="1">
      <alignment horizontal="center"/>
    </xf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164" fontId="0" fillId="0" borderId="0" xfId="0" applyNumberFormat="1"/>
    <xf numFmtId="2" fontId="0" fillId="0" borderId="0" xfId="0" applyNumberFormat="1" applyAlignment="1">
      <alignment horizontal="right"/>
    </xf>
    <xf numFmtId="2" fontId="2" fillId="0" borderId="0" xfId="0" applyNumberFormat="1" applyFont="1"/>
    <xf numFmtId="167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ont="1" applyFill="1"/>
    <xf numFmtId="167" fontId="0" fillId="0" borderId="0" xfId="0" applyNumberFormat="1" applyFill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11" fontId="0" fillId="4" borderId="0" xfId="0" applyNumberFormat="1" applyFill="1"/>
    <xf numFmtId="0" fontId="0" fillId="5" borderId="0" xfId="0" applyFill="1"/>
    <xf numFmtId="2" fontId="2" fillId="5" borderId="0" xfId="0" applyNumberFormat="1" applyFont="1" applyFill="1"/>
    <xf numFmtId="2" fontId="0" fillId="0" borderId="1" xfId="0" applyNumberFormat="1" applyBorder="1"/>
    <xf numFmtId="2" fontId="0" fillId="0" borderId="0" xfId="0" applyNumberFormat="1" applyBorder="1"/>
    <xf numFmtId="0" fontId="0" fillId="0" borderId="0" xfId="0" applyBorder="1"/>
    <xf numFmtId="2" fontId="0" fillId="0" borderId="2" xfId="0" applyNumberFormat="1" applyBorder="1"/>
    <xf numFmtId="11" fontId="0" fillId="0" borderId="0" xfId="1" applyNumberFormat="1" applyFont="1" applyBorder="1"/>
    <xf numFmtId="11" fontId="0" fillId="0" borderId="0" xfId="0" applyNumberFormat="1" applyBorder="1"/>
    <xf numFmtId="164" fontId="0" fillId="0" borderId="0" xfId="0" applyNumberFormat="1" applyBorder="1"/>
    <xf numFmtId="164" fontId="0" fillId="0" borderId="0" xfId="1" applyNumberFormat="1" applyFont="1" applyBorder="1"/>
    <xf numFmtId="164" fontId="0" fillId="0" borderId="3" xfId="1" applyNumberFormat="1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166" fontId="0" fillId="0" borderId="0" xfId="0" applyNumberFormat="1" applyBorder="1"/>
    <xf numFmtId="166" fontId="0" fillId="0" borderId="0" xfId="0" applyNumberFormat="1" applyFill="1" applyBorder="1"/>
    <xf numFmtId="0" fontId="0" fillId="6" borderId="0" xfId="0" applyFill="1"/>
    <xf numFmtId="168" fontId="0" fillId="0" borderId="0" xfId="0" applyNumberFormat="1"/>
    <xf numFmtId="1" fontId="0" fillId="0" borderId="0" xfId="0" applyNumberFormat="1" applyBorder="1"/>
    <xf numFmtId="0" fontId="4" fillId="6" borderId="0" xfId="0" applyFont="1" applyFill="1"/>
    <xf numFmtId="169" fontId="0" fillId="0" borderId="0" xfId="0" applyNumberFormat="1"/>
    <xf numFmtId="166" fontId="0" fillId="6" borderId="0" xfId="0" applyNumberFormat="1" applyFill="1"/>
    <xf numFmtId="11" fontId="0" fillId="0" borderId="0" xfId="0" applyNumberFormat="1" applyFill="1"/>
    <xf numFmtId="0" fontId="1" fillId="6" borderId="0" xfId="0" applyFont="1" applyFill="1"/>
    <xf numFmtId="0" fontId="4" fillId="0" borderId="0" xfId="0" applyFont="1"/>
    <xf numFmtId="166" fontId="4" fillId="6" borderId="0" xfId="0" applyNumberFormat="1" applyFont="1" applyFill="1"/>
    <xf numFmtId="0" fontId="1" fillId="0" borderId="0" xfId="0" applyFont="1"/>
    <xf numFmtId="0" fontId="0" fillId="6" borderId="0" xfId="0" applyFont="1" applyFill="1"/>
    <xf numFmtId="168" fontId="0" fillId="0" borderId="0" xfId="0" applyNumberFormat="1" applyFill="1"/>
    <xf numFmtId="0" fontId="5" fillId="0" borderId="0" xfId="0" applyFont="1"/>
    <xf numFmtId="0" fontId="5" fillId="0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0" borderId="0" xfId="0" applyFont="1" applyFill="1" applyBorder="1"/>
    <xf numFmtId="164" fontId="5" fillId="0" borderId="0" xfId="0" applyNumberFormat="1" applyFont="1" applyFill="1"/>
    <xf numFmtId="0" fontId="5" fillId="0" borderId="0" xfId="0" applyNumberFormat="1" applyFont="1" applyFill="1" applyBorder="1"/>
    <xf numFmtId="0" fontId="6" fillId="0" borderId="0" xfId="0" applyFont="1" applyFill="1" applyBorder="1" applyAlignment="1">
      <alignment horizontal="right" wrapText="1" readingOrder="1"/>
    </xf>
    <xf numFmtId="0" fontId="5" fillId="0" borderId="0" xfId="0" applyNumberFormat="1" applyFont="1" applyFill="1"/>
    <xf numFmtId="0" fontId="6" fillId="0" borderId="0" xfId="0" applyFont="1" applyFill="1" applyBorder="1" applyAlignment="1">
      <alignment horizontal="left" vertical="top" wrapText="1" readingOrder="1"/>
    </xf>
    <xf numFmtId="1" fontId="5" fillId="0" borderId="0" xfId="0" applyNumberFormat="1" applyFont="1" applyFill="1"/>
    <xf numFmtId="0" fontId="6" fillId="0" borderId="0" xfId="0" applyFont="1" applyFill="1" applyBorder="1" applyAlignment="1">
      <alignment horizontal="right" wrapText="1"/>
    </xf>
    <xf numFmtId="0" fontId="5" fillId="0" borderId="4" xfId="0" applyFont="1" applyFill="1" applyBorder="1"/>
    <xf numFmtId="0" fontId="5" fillId="8" borderId="4" xfId="0" applyFont="1" applyFill="1" applyBorder="1"/>
    <xf numFmtId="2" fontId="5" fillId="0" borderId="4" xfId="0" applyNumberFormat="1" applyFont="1" applyFill="1" applyBorder="1"/>
    <xf numFmtId="2" fontId="5" fillId="8" borderId="4" xfId="0" applyNumberFormat="1" applyFont="1" applyFill="1" applyBorder="1"/>
    <xf numFmtId="0" fontId="5" fillId="0" borderId="5" xfId="0" applyFont="1" applyFill="1" applyBorder="1"/>
    <xf numFmtId="2" fontId="5" fillId="8" borderId="5" xfId="0" applyNumberFormat="1" applyFont="1" applyFill="1" applyBorder="1"/>
    <xf numFmtId="1" fontId="5" fillId="0" borderId="0" xfId="0" applyNumberFormat="1" applyFont="1" applyFill="1" applyBorder="1"/>
    <xf numFmtId="168" fontId="5" fillId="7" borderId="4" xfId="0" applyNumberFormat="1" applyFont="1" applyFill="1" applyBorder="1"/>
    <xf numFmtId="168" fontId="5" fillId="7" borderId="5" xfId="0" applyNumberFormat="1" applyFont="1" applyFill="1" applyBorder="1"/>
    <xf numFmtId="11" fontId="5" fillId="0" borderId="0" xfId="0" applyNumberFormat="1" applyFont="1" applyFill="1"/>
    <xf numFmtId="0" fontId="7" fillId="0" borderId="4" xfId="0" applyFont="1" applyBorder="1"/>
    <xf numFmtId="0" fontId="7" fillId="0" borderId="4" xfId="0" applyFont="1" applyFill="1" applyBorder="1" applyAlignment="1">
      <alignment wrapText="1"/>
    </xf>
    <xf numFmtId="0" fontId="7" fillId="7" borderId="4" xfId="0" applyFont="1" applyFill="1" applyBorder="1"/>
    <xf numFmtId="0" fontId="7" fillId="8" borderId="4" xfId="0" applyFont="1" applyFill="1" applyBorder="1"/>
    <xf numFmtId="0" fontId="7" fillId="0" borderId="4" xfId="0" applyFont="1" applyFill="1" applyBorder="1"/>
    <xf numFmtId="2" fontId="8" fillId="0" borderId="4" xfId="0" applyNumberFormat="1" applyFont="1" applyFill="1" applyBorder="1" applyAlignment="1">
      <alignment horizontal="right" vertical="top" wrapText="1" readingOrder="1"/>
    </xf>
    <xf numFmtId="2" fontId="5" fillId="0" borderId="4" xfId="0" applyNumberFormat="1" applyFont="1" applyBorder="1" applyAlignment="1">
      <alignment horizontal="right" readingOrder="1"/>
    </xf>
    <xf numFmtId="2" fontId="5" fillId="0" borderId="5" xfId="0" applyNumberFormat="1" applyFont="1" applyBorder="1" applyAlignment="1">
      <alignment horizontal="right" readingOrder="1"/>
    </xf>
    <xf numFmtId="0" fontId="2" fillId="0" borderId="0" xfId="0" applyFont="1" applyFill="1"/>
    <xf numFmtId="2" fontId="0" fillId="0" borderId="0" xfId="0" applyNumberFormat="1" applyFill="1" applyAlignment="1">
      <alignment horizontal="right"/>
    </xf>
    <xf numFmtId="10" fontId="0" fillId="0" borderId="0" xfId="1" applyNumberFormat="1" applyFont="1"/>
    <xf numFmtId="10" fontId="0" fillId="0" borderId="0" xfId="1" applyNumberFormat="1" applyFont="1" applyFill="1"/>
    <xf numFmtId="10" fontId="0" fillId="2" borderId="0" xfId="1" applyNumberFormat="1" applyFont="1" applyFill="1"/>
    <xf numFmtId="0" fontId="0" fillId="0" borderId="6" xfId="0" applyBorder="1"/>
    <xf numFmtId="0" fontId="0" fillId="3" borderId="6" xfId="0" applyFill="1" applyBorder="1"/>
    <xf numFmtId="10" fontId="0" fillId="0" borderId="6" xfId="1" applyNumberFormat="1" applyFont="1" applyBorder="1"/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/>
    <xf numFmtId="0" fontId="11" fillId="0" borderId="0" xfId="0" applyFont="1"/>
    <xf numFmtId="0" fontId="11" fillId="0" borderId="0" xfId="0" applyFont="1" applyFill="1"/>
    <xf numFmtId="0" fontId="0" fillId="0" borderId="0" xfId="0" quotePrefix="1" applyFill="1"/>
    <xf numFmtId="0" fontId="7" fillId="7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Summary!$M$6</c:f>
              <c:strCache>
                <c:ptCount val="1"/>
              </c:strCache>
            </c:strRef>
          </c:tx>
          <c:cat>
            <c:numRef>
              <c:f>Summary!$B$7:$B$13</c:f>
              <c:numCache>
                <c:formatCode>0.00</c:formatCode>
                <c:ptCount val="7"/>
                <c:pt idx="0">
                  <c:v>-0.6012</c:v>
                </c:pt>
                <c:pt idx="1">
                  <c:v>-0.57</c:v>
                </c:pt>
                <c:pt idx="2">
                  <c:v>-0.747882360642501</c:v>
                </c:pt>
                <c:pt idx="3">
                  <c:v>-0.54198</c:v>
                </c:pt>
              </c:numCache>
            </c:numRef>
          </c:cat>
          <c:val>
            <c:numRef>
              <c:f>Summary!$M$7:$M$13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50-4876-BA07-58171A78024C}"/>
            </c:ext>
          </c:extLst>
        </c:ser>
        <c:ser>
          <c:idx val="1"/>
          <c:order val="1"/>
          <c:tx>
            <c:strRef>
              <c:f>Summary!$N$6</c:f>
              <c:strCache>
                <c:ptCount val="1"/>
              </c:strCache>
            </c:strRef>
          </c:tx>
          <c:val>
            <c:numRef>
              <c:f>Summary!$N$7:$N$13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50-4876-BA07-58171A78024C}"/>
            </c:ext>
          </c:extLst>
        </c:ser>
        <c:ser>
          <c:idx val="2"/>
          <c:order val="2"/>
          <c:tx>
            <c:strRef>
              <c:f>Summary!$E$6</c:f>
              <c:strCache>
                <c:ptCount val="1"/>
              </c:strCache>
            </c:strRef>
          </c:tx>
          <c:val>
            <c:numRef>
              <c:f>Summary!$E$7:$E$13</c:f>
              <c:numCache>
                <c:formatCode>0.00000</c:formatCode>
                <c:ptCount val="7"/>
                <c:pt idx="2">
                  <c:v>-3.59280985230044E-5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50-4876-BA07-58171A78024C}"/>
            </c:ext>
          </c:extLst>
        </c:ser>
        <c:ser>
          <c:idx val="3"/>
          <c:order val="3"/>
          <c:tx>
            <c:strRef>
              <c:f>Summary!$J$6</c:f>
              <c:strCache>
                <c:ptCount val="1"/>
              </c:strCache>
            </c:strRef>
          </c:tx>
          <c:val>
            <c:numRef>
              <c:f>Summary!$J$7:$J$13</c:f>
              <c:numCache>
                <c:formatCode>0.00</c:formatCode>
                <c:ptCount val="7"/>
                <c:pt idx="2">
                  <c:v>-0.508581688170639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B50-4876-BA07-58171A78024C}"/>
            </c:ext>
          </c:extLst>
        </c:ser>
        <c:ser>
          <c:idx val="4"/>
          <c:order val="4"/>
          <c:tx>
            <c:strRef>
              <c:f>Summary!$O$6</c:f>
              <c:strCache>
                <c:ptCount val="1"/>
              </c:strCache>
            </c:strRef>
          </c:tx>
          <c:val>
            <c:numRef>
              <c:f>Summary!$O$7:$O$13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50-4876-BA07-58171A78024C}"/>
            </c:ext>
          </c:extLst>
        </c:ser>
        <c:ser>
          <c:idx val="5"/>
          <c:order val="5"/>
          <c:tx>
            <c:strRef>
              <c:f>Summary!$F$6</c:f>
              <c:strCache>
                <c:ptCount val="1"/>
              </c:strCache>
            </c:strRef>
          </c:tx>
          <c:val>
            <c:numRef>
              <c:f>Summary!$F$7:$F$13</c:f>
              <c:numCache>
                <c:formatCode>0.00000</c:formatCode>
                <c:ptCount val="7"/>
                <c:pt idx="2">
                  <c:v>-0.000508581688170639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B50-4876-BA07-58171A780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120208"/>
        <c:axId val="732122528"/>
      </c:lineChart>
      <c:catAx>
        <c:axId val="7321202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732122528"/>
        <c:crosses val="autoZero"/>
        <c:auto val="1"/>
        <c:lblAlgn val="ctr"/>
        <c:lblOffset val="100"/>
        <c:noMultiLvlLbl val="0"/>
      </c:catAx>
      <c:valAx>
        <c:axId val="73212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120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15780935369"/>
          <c:y val="0.0934169810333735"/>
          <c:w val="0.517070977735594"/>
          <c:h val="0.720693598954135"/>
        </c:manualLayout>
      </c:layout>
      <c:scatterChart>
        <c:scatterStyle val="smoothMarker"/>
        <c:varyColors val="0"/>
        <c:ser>
          <c:idx val="9"/>
          <c:order val="0"/>
          <c:tx>
            <c:v>CO from pc Au [1]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ser>
          <c:idx val="0"/>
          <c:order val="1"/>
          <c:tx>
            <c:v>CO from OD-Au [2]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Cu!$E$46:$E$55</c:f>
              <c:numCache>
                <c:formatCode>General</c:formatCode>
                <c:ptCount val="10"/>
                <c:pt idx="0">
                  <c:v>-0.200126224</c:v>
                </c:pt>
                <c:pt idx="1">
                  <c:v>-0.22830184</c:v>
                </c:pt>
                <c:pt idx="2">
                  <c:v>-0.25188975</c:v>
                </c:pt>
                <c:pt idx="3">
                  <c:v>-0.27659518</c:v>
                </c:pt>
                <c:pt idx="4">
                  <c:v>-0.30135235</c:v>
                </c:pt>
                <c:pt idx="5">
                  <c:v>-0.32618953</c:v>
                </c:pt>
                <c:pt idx="6">
                  <c:v>-0.34868816</c:v>
                </c:pt>
                <c:pt idx="7">
                  <c:v>-0.39960237</c:v>
                </c:pt>
                <c:pt idx="8">
                  <c:v>-0.4518082</c:v>
                </c:pt>
                <c:pt idx="9">
                  <c:v>-0.50040735</c:v>
                </c:pt>
              </c:numCache>
            </c:numRef>
          </c:xVal>
          <c:yVal>
            <c:numRef>
              <c:f>Cu!$H$46:$H$55</c:f>
              <c:numCache>
                <c:formatCode>General</c:formatCode>
                <c:ptCount val="10"/>
                <c:pt idx="0">
                  <c:v>0.000303630277777778</c:v>
                </c:pt>
                <c:pt idx="1">
                  <c:v>0.00143534659722222</c:v>
                </c:pt>
                <c:pt idx="2">
                  <c:v>0.00319092305555555</c:v>
                </c:pt>
                <c:pt idx="3">
                  <c:v>0.00980103097222222</c:v>
                </c:pt>
                <c:pt idx="4">
                  <c:v>0.0237518486111111</c:v>
                </c:pt>
                <c:pt idx="5">
                  <c:v>0.0399070583333333</c:v>
                </c:pt>
                <c:pt idx="6">
                  <c:v>0.0564247833333333</c:v>
                </c:pt>
                <c:pt idx="7">
                  <c:v>0.125684527777778</c:v>
                </c:pt>
                <c:pt idx="8">
                  <c:v>0.174289472222222</c:v>
                </c:pt>
                <c:pt idx="9">
                  <c:v>0.293335555555555</c:v>
                </c:pt>
              </c:numCache>
            </c:numRef>
          </c:yVal>
          <c:smooth val="1"/>
        </c:ser>
        <c:ser>
          <c:idx val="1"/>
          <c:order val="2"/>
          <c:tx>
            <c:v>HCOO- from pc 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Cu!$I$61:$I$65</c:f>
              <c:numCache>
                <c:formatCode>General</c:formatCode>
                <c:ptCount val="5"/>
                <c:pt idx="0">
                  <c:v>-0.798263</c:v>
                </c:pt>
                <c:pt idx="1">
                  <c:v>-0.8496278</c:v>
                </c:pt>
                <c:pt idx="2">
                  <c:v>-0.8995037</c:v>
                </c:pt>
                <c:pt idx="3">
                  <c:v>-0.9501241</c:v>
                </c:pt>
                <c:pt idx="4">
                  <c:v>-0.9985112</c:v>
                </c:pt>
              </c:numCache>
            </c:numRef>
          </c:xVal>
          <c:yVal>
            <c:numRef>
              <c:f>Cu!$K$61:$K$65</c:f>
              <c:numCache>
                <c:formatCode>0.00E+00</c:formatCode>
                <c:ptCount val="5"/>
                <c:pt idx="0">
                  <c:v>0.005009145</c:v>
                </c:pt>
                <c:pt idx="1">
                  <c:v>0.025091533</c:v>
                </c:pt>
                <c:pt idx="2">
                  <c:v>0.06684349</c:v>
                </c:pt>
                <c:pt idx="3">
                  <c:v>0.11029433</c:v>
                </c:pt>
                <c:pt idx="4">
                  <c:v>0.22138779</c:v>
                </c:pt>
              </c:numCache>
            </c:numRef>
          </c:yVal>
          <c:smooth val="1"/>
        </c:ser>
        <c:ser>
          <c:idx val="2"/>
          <c:order val="3"/>
          <c:tx>
            <c:v>HCOO- from OD-Pb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Cu!$E$61:$E$69</c:f>
              <c:numCache>
                <c:formatCode>General</c:formatCode>
                <c:ptCount val="9"/>
                <c:pt idx="0">
                  <c:v>-0.6992556</c:v>
                </c:pt>
                <c:pt idx="1">
                  <c:v>-0.72531015</c:v>
                </c:pt>
                <c:pt idx="2">
                  <c:v>-0.75062037</c:v>
                </c:pt>
                <c:pt idx="3">
                  <c:v>-0.7759305</c:v>
                </c:pt>
                <c:pt idx="4">
                  <c:v>-0.8012407</c:v>
                </c:pt>
                <c:pt idx="5">
                  <c:v>-0.82282877</c:v>
                </c:pt>
                <c:pt idx="6">
                  <c:v>-0.8503722</c:v>
                </c:pt>
                <c:pt idx="7">
                  <c:v>-0.8972705</c:v>
                </c:pt>
                <c:pt idx="8">
                  <c:v>-0.9985112</c:v>
                </c:pt>
              </c:numCache>
            </c:numRef>
          </c:xVal>
          <c:yVal>
            <c:numRef>
              <c:f>Cu!$H$61:$H$69</c:f>
              <c:numCache>
                <c:formatCode>0.00E+00</c:formatCode>
                <c:ptCount val="9"/>
                <c:pt idx="0">
                  <c:v>0.00084321256</c:v>
                </c:pt>
                <c:pt idx="1">
                  <c:v>0.00205894104</c:v>
                </c:pt>
                <c:pt idx="2">
                  <c:v>0.0042237736</c:v>
                </c:pt>
                <c:pt idx="3">
                  <c:v>0.007122804</c:v>
                </c:pt>
                <c:pt idx="4">
                  <c:v>0.0110097208</c:v>
                </c:pt>
                <c:pt idx="5">
                  <c:v>0.0152623108</c:v>
                </c:pt>
                <c:pt idx="6">
                  <c:v>0.021157496</c:v>
                </c:pt>
                <c:pt idx="7">
                  <c:v>0.0380875824</c:v>
                </c:pt>
                <c:pt idx="8">
                  <c:v>0.08712072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Cu!$AQ$2</c:f>
              <c:strCache>
                <c:ptCount val="1"/>
                <c:pt idx="0">
                  <c:v>C2+ from pc Cu [Jaramillo]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Cu!$AQ$4:$AQ$13</c:f>
              <c:numCache>
                <c:formatCode>General</c:formatCode>
                <c:ptCount val="10"/>
                <c:pt idx="0">
                  <c:v>1.93363937352</c:v>
                </c:pt>
                <c:pt idx="1">
                  <c:v>2.80523392584435</c:v>
                </c:pt>
                <c:pt idx="2">
                  <c:v>3.152754345583001</c:v>
                </c:pt>
                <c:pt idx="3">
                  <c:v>2.396881026424501</c:v>
                </c:pt>
                <c:pt idx="4">
                  <c:v>1.08014784924519</c:v>
                </c:pt>
                <c:pt idx="5">
                  <c:v>0.31154870265625</c:v>
                </c:pt>
                <c:pt idx="6">
                  <c:v>0.044723638</c:v>
                </c:pt>
                <c:pt idx="7">
                  <c:v>0.0158149673</c:v>
                </c:pt>
                <c:pt idx="8">
                  <c:v>0.0023800251</c:v>
                </c:pt>
                <c:pt idx="9">
                  <c:v>-480.0</c:v>
                </c:pt>
              </c:numCache>
            </c:numRef>
          </c:yVal>
          <c:smooth val="1"/>
        </c:ser>
        <c:ser>
          <c:idx val="13"/>
          <c:order val="5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Cu!$Q$23:$Q$30</c:f>
              <c:numCache>
                <c:formatCode>General</c:formatCode>
                <c:ptCount val="8"/>
                <c:pt idx="0">
                  <c:v>-0.5</c:v>
                </c:pt>
                <c:pt idx="1">
                  <c:v>-0.55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Cu!$AE$23:$AE$30</c:f>
              <c:numCache>
                <c:formatCode>General</c:formatCode>
                <c:ptCount val="8"/>
                <c:pt idx="0">
                  <c:v>0.0001785</c:v>
                </c:pt>
                <c:pt idx="1">
                  <c:v>0.000314166666666667</c:v>
                </c:pt>
                <c:pt idx="2">
                  <c:v>0.000667020833333333</c:v>
                </c:pt>
                <c:pt idx="3">
                  <c:v>0.00115777083333333</c:v>
                </c:pt>
                <c:pt idx="4">
                  <c:v>0.001358125</c:v>
                </c:pt>
                <c:pt idx="5">
                  <c:v>0.00337305</c:v>
                </c:pt>
                <c:pt idx="6">
                  <c:v>0.0054325</c:v>
                </c:pt>
                <c:pt idx="7">
                  <c:v>0.006690625</c:v>
                </c:pt>
              </c:numCache>
            </c:numRef>
          </c:yVal>
          <c:smooth val="1"/>
        </c:ser>
        <c:ser>
          <c:idx val="14"/>
          <c:order val="6"/>
          <c:tx>
            <c:strRef>
              <c:f>Cu!$AM$15</c:f>
              <c:strCache>
                <c:ptCount val="1"/>
                <c:pt idx="0">
                  <c:v>C2+ from pc Cu (COR) [Jaramillo]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7030A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Cu!$AG$17:$AG$25</c:f>
              <c:numCache>
                <c:formatCode>General</c:formatCode>
                <c:ptCount val="9"/>
                <c:pt idx="0">
                  <c:v>-0.80907327</c:v>
                </c:pt>
                <c:pt idx="1">
                  <c:v>-0.7735996</c:v>
                </c:pt>
                <c:pt idx="2">
                  <c:v>-0.7289877</c:v>
                </c:pt>
                <c:pt idx="3">
                  <c:v>-0.6824954</c:v>
                </c:pt>
                <c:pt idx="4">
                  <c:v>-0.6335365</c:v>
                </c:pt>
                <c:pt idx="5">
                  <c:v>-0.58140105</c:v>
                </c:pt>
                <c:pt idx="6">
                  <c:v>-0.5344138</c:v>
                </c:pt>
                <c:pt idx="7">
                  <c:v>-0.48579773</c:v>
                </c:pt>
                <c:pt idx="8">
                  <c:v>-0.434926</c:v>
                </c:pt>
              </c:numCache>
            </c:numRef>
          </c:xVal>
          <c:yVal>
            <c:numRef>
              <c:f>Cu!$AM$17:$AM$25</c:f>
              <c:numCache>
                <c:formatCode>General</c:formatCode>
                <c:ptCount val="9"/>
                <c:pt idx="0">
                  <c:v>0.079838779</c:v>
                </c:pt>
                <c:pt idx="1">
                  <c:v>0.632186506</c:v>
                </c:pt>
                <c:pt idx="2">
                  <c:v>0.65929464</c:v>
                </c:pt>
                <c:pt idx="3">
                  <c:v>0.718272677</c:v>
                </c:pt>
                <c:pt idx="4">
                  <c:v>0.571601369</c:v>
                </c:pt>
                <c:pt idx="5">
                  <c:v>0.29564903</c:v>
                </c:pt>
                <c:pt idx="6">
                  <c:v>0.113592622</c:v>
                </c:pt>
                <c:pt idx="7">
                  <c:v>0.022984862</c:v>
                </c:pt>
                <c:pt idx="8">
                  <c:v>0.0053065205</c:v>
                </c:pt>
              </c:numCache>
            </c:numRef>
          </c:yVal>
          <c:smooth val="1"/>
        </c:ser>
        <c:ser>
          <c:idx val="8"/>
          <c:order val="7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Cu!$N$17:$N$22</c:f>
              <c:numCache>
                <c:formatCode>General</c:formatCode>
                <c:ptCount val="6"/>
                <c:pt idx="0">
                  <c:v>0.000285084662576687</c:v>
                </c:pt>
                <c:pt idx="1">
                  <c:v>0.000998374233128834</c:v>
                </c:pt>
                <c:pt idx="2">
                  <c:v>0.00168213496932515</c:v>
                </c:pt>
                <c:pt idx="3">
                  <c:v>0.0026558282208589</c:v>
                </c:pt>
                <c:pt idx="4">
                  <c:v>0.00317484662576687</c:v>
                </c:pt>
                <c:pt idx="5">
                  <c:v>0.00356907975460123</c:v>
                </c:pt>
              </c:numCache>
            </c:numRef>
          </c:yVal>
          <c:smooth val="1"/>
        </c:ser>
        <c:ser>
          <c:idx val="12"/>
          <c:order val="8"/>
          <c:tx>
            <c:strRef>
              <c:f>Cu!$M$24</c:f>
              <c:strCache>
                <c:ptCount val="1"/>
                <c:pt idx="0">
                  <c:v>C2+ products from Cu NPs (COR) [Kanan]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Cu!$E$25:$E$30</c:f>
              <c:numCache>
                <c:formatCode>General</c:formatCode>
                <c:ptCount val="6"/>
                <c:pt idx="0">
                  <c:v>-0.3</c:v>
                </c:pt>
                <c:pt idx="1">
                  <c:v>-0.35</c:v>
                </c:pt>
                <c:pt idx="2">
                  <c:v>-0.4</c:v>
                </c:pt>
                <c:pt idx="3">
                  <c:v>-0.45</c:v>
                </c:pt>
                <c:pt idx="4">
                  <c:v>-0.5</c:v>
                </c:pt>
                <c:pt idx="5">
                  <c:v>-0.6</c:v>
                </c:pt>
              </c:numCache>
            </c:numRef>
          </c:xVal>
          <c:yVal>
            <c:numRef>
              <c:f>Cu!$N$25:$N$30</c:f>
              <c:numCache>
                <c:formatCode>General</c:formatCode>
                <c:ptCount val="6"/>
                <c:pt idx="0">
                  <c:v>5.89E-5</c:v>
                </c:pt>
                <c:pt idx="1">
                  <c:v>0.000177466666666667</c:v>
                </c:pt>
                <c:pt idx="2">
                  <c:v>0.0005738</c:v>
                </c:pt>
                <c:pt idx="3">
                  <c:v>0.0013713</c:v>
                </c:pt>
                <c:pt idx="4">
                  <c:v>0.003575</c:v>
                </c:pt>
                <c:pt idx="5">
                  <c:v>0.00489633333333333</c:v>
                </c:pt>
              </c:numCache>
            </c:numRef>
          </c:yVal>
          <c:smooth val="1"/>
        </c:ser>
        <c:ser>
          <c:idx val="3"/>
          <c:order val="9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Cu!$F$76:$F$77</c:f>
              <c:numCache>
                <c:formatCode>General</c:formatCode>
                <c:ptCount val="2"/>
                <c:pt idx="0">
                  <c:v>-0.11</c:v>
                </c:pt>
                <c:pt idx="1">
                  <c:v>-0.11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4"/>
          <c:order val="10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Cu!$G$76:$G$77</c:f>
              <c:numCache>
                <c:formatCode>General</c:formatCode>
                <c:ptCount val="2"/>
                <c:pt idx="0">
                  <c:v>-0.25</c:v>
                </c:pt>
                <c:pt idx="1">
                  <c:v>-0.25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6"/>
          <c:order val="1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Cu!$H$76:$H$77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7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Cu!$I$76:$I$77</c:f>
              <c:numCache>
                <c:formatCode>General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0"/>
          <c:order val="1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Cu!$J$76:$J$77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1"/>
          <c:order val="14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Cu!$K$76:$K$77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21248"/>
        <c:axId val="732625280"/>
      </c:scatterChart>
      <c:valAx>
        <c:axId val="732621248"/>
        <c:scaling>
          <c:orientation val="minMax"/>
          <c:max val="0.2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layout>
            <c:manualLayout>
              <c:xMode val="edge"/>
              <c:yMode val="edge"/>
              <c:x val="0.343971622796532"/>
              <c:y val="0.89168842669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625280"/>
        <c:crossesAt val="1.0E-5"/>
        <c:crossBetween val="midCat"/>
        <c:majorUnit val="0.2"/>
      </c:valAx>
      <c:valAx>
        <c:axId val="732625280"/>
        <c:scaling>
          <c:logBase val="10.0"/>
          <c:orientation val="minMax"/>
          <c:max val="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-25000"/>
                  <a:t>real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837971712908898"/>
              <c:y val="0.353433099225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621248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7030A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7030A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7030A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ayout>
        <c:manualLayout>
          <c:xMode val="edge"/>
          <c:yMode val="edge"/>
          <c:x val="0.713417666723508"/>
          <c:y val="0.195210074250161"/>
          <c:w val="0.276818004422117"/>
          <c:h val="0.5661789251176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1387194187"/>
          <c:y val="0.103396135880009"/>
          <c:w val="0.504879892436515"/>
          <c:h val="0.720693598954135"/>
        </c:manualLayout>
      </c:layout>
      <c:scatterChart>
        <c:scatterStyle val="lineMarker"/>
        <c:varyColors val="0"/>
        <c:ser>
          <c:idx val="1"/>
          <c:order val="0"/>
          <c:tx>
            <c:strRef>
              <c:f>Cu!$AO$2</c:f>
              <c:strCache>
                <c:ptCount val="1"/>
                <c:pt idx="0">
                  <c:v>C1's from pc Cu [Jaramillo]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Cu!$AO$4:$AO$13</c:f>
              <c:numCache>
                <c:formatCode>General</c:formatCode>
                <c:ptCount val="10"/>
                <c:pt idx="0">
                  <c:v>7.112918719500001</c:v>
                </c:pt>
                <c:pt idx="1">
                  <c:v>4.9041969345</c:v>
                </c:pt>
                <c:pt idx="2">
                  <c:v>2.7355034777105</c:v>
                </c:pt>
                <c:pt idx="3">
                  <c:v>1.44365275348525</c:v>
                </c:pt>
                <c:pt idx="4">
                  <c:v>0.62234425197252</c:v>
                </c:pt>
                <c:pt idx="5">
                  <c:v>0.05955125</c:v>
                </c:pt>
                <c:pt idx="6">
                  <c:v>0.009033338</c:v>
                </c:pt>
                <c:pt idx="7">
                  <c:v>0.0011927729</c:v>
                </c:pt>
                <c:pt idx="8">
                  <c:v>0.00037734828582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Cu!$AQ$2</c:f>
              <c:strCache>
                <c:ptCount val="1"/>
                <c:pt idx="0">
                  <c:v>C2+ from pc Cu [Jaramillo]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Cu!$AQ$4:$AQ$12</c:f>
              <c:numCache>
                <c:formatCode>General</c:formatCode>
                <c:ptCount val="9"/>
                <c:pt idx="0">
                  <c:v>1.93363937352</c:v>
                </c:pt>
                <c:pt idx="1">
                  <c:v>2.80523392584435</c:v>
                </c:pt>
                <c:pt idx="2">
                  <c:v>3.152754345583001</c:v>
                </c:pt>
                <c:pt idx="3">
                  <c:v>2.396881026424501</c:v>
                </c:pt>
                <c:pt idx="4">
                  <c:v>1.08014784924519</c:v>
                </c:pt>
                <c:pt idx="5">
                  <c:v>0.31154870265625</c:v>
                </c:pt>
                <c:pt idx="6">
                  <c:v>0.044723638</c:v>
                </c:pt>
                <c:pt idx="7">
                  <c:v>0.0158149673</c:v>
                </c:pt>
                <c:pt idx="8">
                  <c:v>0.0023800251</c:v>
                </c:pt>
              </c:numCache>
            </c:numRef>
          </c:yVal>
          <c:smooth val="0"/>
        </c:ser>
        <c:ser>
          <c:idx val="13"/>
          <c:order val="2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Cu!$Q$23:$Q$30</c:f>
              <c:numCache>
                <c:formatCode>General</c:formatCode>
                <c:ptCount val="8"/>
                <c:pt idx="0">
                  <c:v>-0.5</c:v>
                </c:pt>
                <c:pt idx="1">
                  <c:v>-0.55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Cu!$AE$23:$AE$30</c:f>
              <c:numCache>
                <c:formatCode>General</c:formatCode>
                <c:ptCount val="8"/>
                <c:pt idx="0">
                  <c:v>0.0001785</c:v>
                </c:pt>
                <c:pt idx="1">
                  <c:v>0.000314166666666667</c:v>
                </c:pt>
                <c:pt idx="2">
                  <c:v>0.000667020833333333</c:v>
                </c:pt>
                <c:pt idx="3">
                  <c:v>0.00115777083333333</c:v>
                </c:pt>
                <c:pt idx="4">
                  <c:v>0.001358125</c:v>
                </c:pt>
                <c:pt idx="5">
                  <c:v>0.00337305</c:v>
                </c:pt>
                <c:pt idx="6">
                  <c:v>0.0054325</c:v>
                </c:pt>
                <c:pt idx="7">
                  <c:v>0.006690625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Cu!$AH$15</c:f>
              <c:strCache>
                <c:ptCount val="1"/>
                <c:pt idx="0">
                  <c:v>CH4 from pc Cu (COR) [Jaramillo]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rgbClr val="FFC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Cu!$AG$17:$AG$19</c:f>
              <c:numCache>
                <c:formatCode>General</c:formatCode>
                <c:ptCount val="3"/>
                <c:pt idx="0">
                  <c:v>-0.80907327</c:v>
                </c:pt>
                <c:pt idx="1">
                  <c:v>-0.7735996</c:v>
                </c:pt>
                <c:pt idx="2">
                  <c:v>-0.7289877</c:v>
                </c:pt>
              </c:numCache>
            </c:numRef>
          </c:xVal>
          <c:yVal>
            <c:numRef>
              <c:f>Cu!$AH$17:$AH$19</c:f>
              <c:numCache>
                <c:formatCode>General</c:formatCode>
                <c:ptCount val="3"/>
                <c:pt idx="0">
                  <c:v>0.80211216</c:v>
                </c:pt>
                <c:pt idx="1">
                  <c:v>0.16631481</c:v>
                </c:pt>
                <c:pt idx="2">
                  <c:v>0.016234025</c:v>
                </c:pt>
              </c:numCache>
            </c:numRef>
          </c:yVal>
          <c:smooth val="0"/>
        </c:ser>
        <c:ser>
          <c:idx val="14"/>
          <c:order val="4"/>
          <c:tx>
            <c:strRef>
              <c:f>Cu!$AM$15</c:f>
              <c:strCache>
                <c:ptCount val="1"/>
                <c:pt idx="0">
                  <c:v>C2+ from pc Cu (COR) [Jaramillo]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Cu!$AG$17:$AG$25</c:f>
              <c:numCache>
                <c:formatCode>General</c:formatCode>
                <c:ptCount val="9"/>
                <c:pt idx="0">
                  <c:v>-0.80907327</c:v>
                </c:pt>
                <c:pt idx="1">
                  <c:v>-0.7735996</c:v>
                </c:pt>
                <c:pt idx="2">
                  <c:v>-0.7289877</c:v>
                </c:pt>
                <c:pt idx="3">
                  <c:v>-0.6824954</c:v>
                </c:pt>
                <c:pt idx="4">
                  <c:v>-0.6335365</c:v>
                </c:pt>
                <c:pt idx="5">
                  <c:v>-0.58140105</c:v>
                </c:pt>
                <c:pt idx="6">
                  <c:v>-0.5344138</c:v>
                </c:pt>
                <c:pt idx="7">
                  <c:v>-0.48579773</c:v>
                </c:pt>
                <c:pt idx="8">
                  <c:v>-0.434926</c:v>
                </c:pt>
              </c:numCache>
            </c:numRef>
          </c:xVal>
          <c:yVal>
            <c:numRef>
              <c:f>Cu!$AM$17:$AM$25</c:f>
              <c:numCache>
                <c:formatCode>General</c:formatCode>
                <c:ptCount val="9"/>
                <c:pt idx="0">
                  <c:v>0.079838779</c:v>
                </c:pt>
                <c:pt idx="1">
                  <c:v>0.632186506</c:v>
                </c:pt>
                <c:pt idx="2">
                  <c:v>0.65929464</c:v>
                </c:pt>
                <c:pt idx="3">
                  <c:v>0.718272677</c:v>
                </c:pt>
                <c:pt idx="4">
                  <c:v>0.571601369</c:v>
                </c:pt>
                <c:pt idx="5">
                  <c:v>0.29564903</c:v>
                </c:pt>
                <c:pt idx="6">
                  <c:v>0.113592622</c:v>
                </c:pt>
                <c:pt idx="7">
                  <c:v>0.022984862</c:v>
                </c:pt>
                <c:pt idx="8">
                  <c:v>0.0053065205</c:v>
                </c:pt>
              </c:numCache>
            </c:numRef>
          </c:yVal>
          <c:smooth val="0"/>
        </c:ser>
        <c:ser>
          <c:idx val="8"/>
          <c:order val="5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Cu!$N$17:$N$22</c:f>
              <c:numCache>
                <c:formatCode>General</c:formatCode>
                <c:ptCount val="6"/>
                <c:pt idx="0">
                  <c:v>0.000285084662576687</c:v>
                </c:pt>
                <c:pt idx="1">
                  <c:v>0.000998374233128834</c:v>
                </c:pt>
                <c:pt idx="2">
                  <c:v>0.00168213496932515</c:v>
                </c:pt>
                <c:pt idx="3">
                  <c:v>0.0026558282208589</c:v>
                </c:pt>
                <c:pt idx="4">
                  <c:v>0.00317484662576687</c:v>
                </c:pt>
                <c:pt idx="5">
                  <c:v>0.00356907975460123</c:v>
                </c:pt>
              </c:numCache>
            </c:numRef>
          </c:yVal>
          <c:smooth val="0"/>
        </c:ser>
        <c:ser>
          <c:idx val="12"/>
          <c:order val="6"/>
          <c:tx>
            <c:strRef>
              <c:f>Cu!$M$24</c:f>
              <c:strCache>
                <c:ptCount val="1"/>
                <c:pt idx="0">
                  <c:v>C2+ products from Cu NPs (COR)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Cu!$E$25:$E$30</c:f>
              <c:numCache>
                <c:formatCode>General</c:formatCode>
                <c:ptCount val="6"/>
                <c:pt idx="0">
                  <c:v>-0.3</c:v>
                </c:pt>
                <c:pt idx="1">
                  <c:v>-0.35</c:v>
                </c:pt>
                <c:pt idx="2">
                  <c:v>-0.4</c:v>
                </c:pt>
                <c:pt idx="3">
                  <c:v>-0.45</c:v>
                </c:pt>
                <c:pt idx="4">
                  <c:v>-0.5</c:v>
                </c:pt>
                <c:pt idx="5">
                  <c:v>-0.6</c:v>
                </c:pt>
              </c:numCache>
            </c:numRef>
          </c:xVal>
          <c:yVal>
            <c:numRef>
              <c:f>Cu!$N$25:$N$30</c:f>
              <c:numCache>
                <c:formatCode>General</c:formatCode>
                <c:ptCount val="6"/>
                <c:pt idx="0">
                  <c:v>5.89E-5</c:v>
                </c:pt>
                <c:pt idx="1">
                  <c:v>0.000177466666666667</c:v>
                </c:pt>
                <c:pt idx="2">
                  <c:v>0.0005738</c:v>
                </c:pt>
                <c:pt idx="3">
                  <c:v>0.0013713</c:v>
                </c:pt>
                <c:pt idx="4">
                  <c:v>0.003575</c:v>
                </c:pt>
                <c:pt idx="5">
                  <c:v>0.00489633333333333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671936"/>
        <c:axId val="732675696"/>
      </c:scatterChart>
      <c:valAx>
        <c:axId val="732671936"/>
        <c:scaling>
          <c:orientation val="minMax"/>
          <c:max val="-0.15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layout>
            <c:manualLayout>
              <c:xMode val="edge"/>
              <c:yMode val="edge"/>
              <c:x val="0.343971622796532"/>
              <c:y val="0.89168842669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675696"/>
        <c:crossesAt val="1.0E-5"/>
        <c:crossBetween val="midCat"/>
        <c:majorUnit val="0.2"/>
      </c:valAx>
      <c:valAx>
        <c:axId val="732675696"/>
        <c:scaling>
          <c:logBase val="10.0"/>
          <c:orientation val="minMax"/>
          <c:max val="15.0"/>
          <c:min val="5.0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-25000"/>
                  <a:t>real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145947229654489"/>
              <c:y val="0.3717281545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671936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25634205392831"/>
          <c:y val="0.103887243147674"/>
          <c:w val="0.321544468231379"/>
          <c:h val="0.72495695685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 and total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Cu!$T$3</c:f>
              <c:strCache>
                <c:ptCount val="1"/>
                <c:pt idx="0">
                  <c:v>Hydrogen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Cu!$T$4:$T$13</c:f>
              <c:numCache>
                <c:formatCode>General</c:formatCode>
                <c:ptCount val="10"/>
                <c:pt idx="0">
                  <c:v>-8.9585376</c:v>
                </c:pt>
                <c:pt idx="1">
                  <c:v>-3.97832904</c:v>
                </c:pt>
                <c:pt idx="2">
                  <c:v>-2.04824551</c:v>
                </c:pt>
                <c:pt idx="3">
                  <c:v>-1.3358989875</c:v>
                </c:pt>
                <c:pt idx="4">
                  <c:v>-0.9054052942</c:v>
                </c:pt>
                <c:pt idx="5">
                  <c:v>-0.5757446875</c:v>
                </c:pt>
                <c:pt idx="6">
                  <c:v>-0.463457006</c:v>
                </c:pt>
                <c:pt idx="7">
                  <c:v>-0.3755346793</c:v>
                </c:pt>
                <c:pt idx="8">
                  <c:v>-0.3413486115</c:v>
                </c:pt>
                <c:pt idx="9">
                  <c:v>-0.3011110686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Cu!$B$3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Cu!$B$4:$B$13</c:f>
              <c:numCache>
                <c:formatCode>General</c:formatCode>
                <c:ptCount val="10"/>
                <c:pt idx="0">
                  <c:v>-17.34</c:v>
                </c:pt>
                <c:pt idx="1">
                  <c:v>-12.24855</c:v>
                </c:pt>
                <c:pt idx="2">
                  <c:v>-9.2255</c:v>
                </c:pt>
                <c:pt idx="3">
                  <c:v>-5.90975</c:v>
                </c:pt>
                <c:pt idx="4">
                  <c:v>-3.56543</c:v>
                </c:pt>
                <c:pt idx="5">
                  <c:v>-1.90625</c:v>
                </c:pt>
                <c:pt idx="6">
                  <c:v>-1.2307</c:v>
                </c:pt>
                <c:pt idx="7">
                  <c:v>-0.85811</c:v>
                </c:pt>
                <c:pt idx="8">
                  <c:v>-0.55221</c:v>
                </c:pt>
                <c:pt idx="9">
                  <c:v>-0.39519</c:v>
                </c:pt>
              </c:numCache>
            </c:numRef>
          </c:yVal>
          <c:smooth val="1"/>
        </c:ser>
        <c:ser>
          <c:idx val="2"/>
          <c:order val="2"/>
          <c:tx>
            <c:v>andy RDE CV data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[1]Sheet1!$E$4:$E$39</c:f>
              <c:strCache>
                <c:ptCount val="36"/>
                <c:pt idx="0">
                  <c:v>mA/cm2</c:v>
                </c:pt>
                <c:pt idx="1">
                  <c:v>-14.485634</c:v>
                </c:pt>
                <c:pt idx="2">
                  <c:v>-13.312645</c:v>
                </c:pt>
                <c:pt idx="3">
                  <c:v>-12.608732</c:v>
                </c:pt>
                <c:pt idx="4">
                  <c:v>-11.668184</c:v>
                </c:pt>
                <c:pt idx="5">
                  <c:v>-10.651554</c:v>
                </c:pt>
                <c:pt idx="6">
                  <c:v>-9.866766</c:v>
                </c:pt>
                <c:pt idx="7">
                  <c:v>-8.849536</c:v>
                </c:pt>
                <c:pt idx="8">
                  <c:v>-7.9083896</c:v>
                </c:pt>
                <c:pt idx="9">
                  <c:v>-7.1247993</c:v>
                </c:pt>
                <c:pt idx="10">
                  <c:v>-6.2615323</c:v>
                </c:pt>
                <c:pt idx="11">
                  <c:v>-5.4767437</c:v>
                </c:pt>
                <c:pt idx="12">
                  <c:v>-4.927392</c:v>
                </c:pt>
                <c:pt idx="13">
                  <c:v>-4.220484</c:v>
                </c:pt>
                <c:pt idx="14">
                  <c:v>-3.7472143</c:v>
                </c:pt>
                <c:pt idx="15">
                  <c:v>-3.1960652</c:v>
                </c:pt>
                <c:pt idx="16">
                  <c:v>-2.8797536</c:v>
                </c:pt>
                <c:pt idx="17">
                  <c:v>-2.330402</c:v>
                </c:pt>
                <c:pt idx="18">
                  <c:v>-2.012293</c:v>
                </c:pt>
                <c:pt idx="19">
                  <c:v>-1.5378256</c:v>
                </c:pt>
                <c:pt idx="20">
                  <c:v>-1.2179196</c:v>
                </c:pt>
                <c:pt idx="21">
                  <c:v>-0.82133186</c:v>
                </c:pt>
                <c:pt idx="22">
                  <c:v>-0.6583834</c:v>
                </c:pt>
                <c:pt idx="23">
                  <c:v>-0.3402746</c:v>
                </c:pt>
                <c:pt idx="24">
                  <c:v>-0.1749299</c:v>
                </c:pt>
                <c:pt idx="25">
                  <c:v>-0.08926218</c:v>
                </c:pt>
                <c:pt idx="26">
                  <c:v>0.07128993</c:v>
                </c:pt>
                <c:pt idx="27">
                  <c:v>0.15336321</c:v>
                </c:pt>
                <c:pt idx="28">
                  <c:v>0.15995303</c:v>
                </c:pt>
                <c:pt idx="29">
                  <c:v>0.16414656</c:v>
                </c:pt>
                <c:pt idx="30">
                  <c:v>0.16834009</c:v>
                </c:pt>
                <c:pt idx="31">
                  <c:v>0.17672713</c:v>
                </c:pt>
                <c:pt idx="32">
                  <c:v>0.26479116</c:v>
                </c:pt>
                <c:pt idx="33">
                  <c:v>0.34926075</c:v>
                </c:pt>
                <c:pt idx="34">
                  <c:v>0.43792385</c:v>
                </c:pt>
                <c:pt idx="35">
                  <c:v>0.44990534</c:v>
                </c:pt>
              </c:strCache>
            </c:strRef>
          </c:xVal>
          <c:yVal>
            <c:numRef>
              <c:f>[1]Sheet1!$F$4:$F$39</c:f>
              <c:numCache>
                <c:formatCode>General</c:formatCode>
                <c:ptCount val="36"/>
                <c:pt idx="1">
                  <c:v>14.485634</c:v>
                </c:pt>
                <c:pt idx="2">
                  <c:v>13.312645</c:v>
                </c:pt>
                <c:pt idx="3">
                  <c:v>12.608732</c:v>
                </c:pt>
                <c:pt idx="4">
                  <c:v>11.668184</c:v>
                </c:pt>
                <c:pt idx="5">
                  <c:v>10.651554</c:v>
                </c:pt>
                <c:pt idx="6">
                  <c:v>9.866766</c:v>
                </c:pt>
                <c:pt idx="7">
                  <c:v>8.849536</c:v>
                </c:pt>
                <c:pt idx="8">
                  <c:v>7.9083896</c:v>
                </c:pt>
                <c:pt idx="9">
                  <c:v>7.1247993</c:v>
                </c:pt>
                <c:pt idx="10">
                  <c:v>6.2615323</c:v>
                </c:pt>
                <c:pt idx="11">
                  <c:v>5.4767437</c:v>
                </c:pt>
                <c:pt idx="12">
                  <c:v>4.927392</c:v>
                </c:pt>
                <c:pt idx="13">
                  <c:v>4.220484</c:v>
                </c:pt>
                <c:pt idx="14">
                  <c:v>3.7472143</c:v>
                </c:pt>
                <c:pt idx="15">
                  <c:v>3.1960652</c:v>
                </c:pt>
                <c:pt idx="16">
                  <c:v>2.8797536</c:v>
                </c:pt>
                <c:pt idx="17">
                  <c:v>2.330402</c:v>
                </c:pt>
                <c:pt idx="18">
                  <c:v>2.012293</c:v>
                </c:pt>
                <c:pt idx="19">
                  <c:v>1.5378256</c:v>
                </c:pt>
                <c:pt idx="20">
                  <c:v>1.2179196</c:v>
                </c:pt>
                <c:pt idx="21">
                  <c:v>0.82133186</c:v>
                </c:pt>
                <c:pt idx="22">
                  <c:v>0.6583834</c:v>
                </c:pt>
                <c:pt idx="23">
                  <c:v>0.3402746</c:v>
                </c:pt>
                <c:pt idx="24">
                  <c:v>0.1749299</c:v>
                </c:pt>
                <c:pt idx="25">
                  <c:v>0.08926218</c:v>
                </c:pt>
                <c:pt idx="26">
                  <c:v>-0.07128993</c:v>
                </c:pt>
                <c:pt idx="27">
                  <c:v>-0.15336321</c:v>
                </c:pt>
                <c:pt idx="28">
                  <c:v>-0.15995303</c:v>
                </c:pt>
                <c:pt idx="29">
                  <c:v>-0.16414656</c:v>
                </c:pt>
                <c:pt idx="30">
                  <c:v>-0.16834009</c:v>
                </c:pt>
                <c:pt idx="31">
                  <c:v>-0.17672713</c:v>
                </c:pt>
                <c:pt idx="32">
                  <c:v>-0.26479116</c:v>
                </c:pt>
                <c:pt idx="33">
                  <c:v>-0.34926075</c:v>
                </c:pt>
                <c:pt idx="34">
                  <c:v>-0.43792385</c:v>
                </c:pt>
                <c:pt idx="35">
                  <c:v>-0.44990534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08992"/>
        <c:axId val="732711472"/>
      </c:scatterChart>
      <c:valAx>
        <c:axId val="73270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11472"/>
        <c:crosses val="autoZero"/>
        <c:crossBetween val="midCat"/>
      </c:valAx>
      <c:valAx>
        <c:axId val="7327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0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Cu!$T$4:$T$13</c:f>
              <c:numCache>
                <c:formatCode>General</c:formatCode>
                <c:ptCount val="10"/>
                <c:pt idx="0">
                  <c:v>-8.9585376</c:v>
                </c:pt>
                <c:pt idx="1">
                  <c:v>-3.97832904</c:v>
                </c:pt>
                <c:pt idx="2">
                  <c:v>-2.04824551</c:v>
                </c:pt>
                <c:pt idx="3">
                  <c:v>-1.3358989875</c:v>
                </c:pt>
                <c:pt idx="4">
                  <c:v>-0.9054052942</c:v>
                </c:pt>
                <c:pt idx="5">
                  <c:v>-0.5757446875</c:v>
                </c:pt>
                <c:pt idx="6">
                  <c:v>-0.463457006</c:v>
                </c:pt>
                <c:pt idx="7">
                  <c:v>-0.3755346793</c:v>
                </c:pt>
                <c:pt idx="8">
                  <c:v>-0.3413486115</c:v>
                </c:pt>
                <c:pt idx="9">
                  <c:v>-0.3011110686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11936"/>
        <c:axId val="710414528"/>
      </c:scatterChart>
      <c:valAx>
        <c:axId val="7104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4528"/>
        <c:crosses val="autoZero"/>
        <c:crossBetween val="midCat"/>
      </c:valAx>
      <c:valAx>
        <c:axId val="71041452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11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H2, log scale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9338136910851"/>
          <c:y val="0.20347065142398"/>
          <c:w val="0.7419908521425"/>
          <c:h val="0.53818657391271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0654211326465488"/>
                  <c:y val="-0.11411015034937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y = -0.156x - 1.033</a:t>
                    </a:r>
                  </a:p>
                  <a:p>
                    <a:pPr>
                      <a:defRPr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tx2">
                            <a:lumMod val="60000"/>
                            <a:lumOff val="40000"/>
                          </a:schemeClr>
                        </a:solidFill>
                      </a:rPr>
                      <a:t>156mV/dec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Cu!$A$16:$A$20</c:f>
              <c:numCache>
                <c:formatCode>General</c:formatCode>
                <c:ptCount val="5"/>
                <c:pt idx="0">
                  <c:v>0.952237120813278</c:v>
                </c:pt>
                <c:pt idx="1">
                  <c:v>0.599700699941423</c:v>
                </c:pt>
                <c:pt idx="2">
                  <c:v>0.311382011506846</c:v>
                </c:pt>
                <c:pt idx="3">
                  <c:v>0.125773620692019</c:v>
                </c:pt>
                <c:pt idx="4">
                  <c:v>-0.0431569703718866</c:v>
                </c:pt>
              </c:numCache>
            </c:numRef>
          </c:xVal>
          <c:yVal>
            <c:numRef>
              <c:f>Cu!$A$4:$A$8</c:f>
              <c:numCache>
                <c:formatCode>General</c:formatCode>
                <c:ptCount val="5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05"/>
            <c:backward val="0.05"/>
            <c:dispRSqr val="0"/>
            <c:dispEq val="1"/>
            <c:trendlineLbl>
              <c:layout>
                <c:manualLayout>
                  <c:x val="0.0510755159153918"/>
                  <c:y val="0.045837028485954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y = -0.9864x - 1.2075</a:t>
                    </a:r>
                  </a:p>
                  <a:p>
                    <a:pPr>
                      <a:defRPr>
                        <a:solidFill>
                          <a:schemeClr val="accent2"/>
                        </a:solidFill>
                      </a:defRPr>
                    </a:pPr>
                    <a:r>
                      <a:rPr lang="en-US">
                        <a:solidFill>
                          <a:schemeClr val="accent2"/>
                        </a:solidFill>
                      </a:rPr>
                      <a:t>986mV/dec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Cu!$A$21:$A$25</c:f>
              <c:numCache>
                <c:formatCode>General</c:formatCode>
                <c:ptCount val="5"/>
                <c:pt idx="0">
                  <c:v>-0.239770060658702</c:v>
                </c:pt>
                <c:pt idx="1">
                  <c:v>-0.333990548300527</c:v>
                </c:pt>
                <c:pt idx="2">
                  <c:v>-0.425349951247859</c:v>
                </c:pt>
                <c:pt idx="3">
                  <c:v>-0.466801859383608</c:v>
                </c:pt>
                <c:pt idx="4">
                  <c:v>-0.521273279878971</c:v>
                </c:pt>
              </c:numCache>
            </c:numRef>
          </c:xVal>
          <c:yVal>
            <c:numRef>
              <c:f>Cu!$A$9:$A$13</c:f>
              <c:numCache>
                <c:formatCode>General</c:formatCode>
                <c:ptCount val="5"/>
                <c:pt idx="0">
                  <c:v>-0.95526</c:v>
                </c:pt>
                <c:pt idx="1">
                  <c:v>-0.88722</c:v>
                </c:pt>
                <c:pt idx="2">
                  <c:v>-0.81724</c:v>
                </c:pt>
                <c:pt idx="3">
                  <c:v>-0.74561</c:v>
                </c:pt>
                <c:pt idx="4">
                  <c:v>-0.67218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19696"/>
        <c:axId val="710523968"/>
      </c:scatterChart>
      <c:valAx>
        <c:axId val="71051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j(mA/cm2)</a:t>
                </a:r>
              </a:p>
            </c:rich>
          </c:tx>
          <c:layout>
            <c:manualLayout>
              <c:xMode val="edge"/>
              <c:yMode val="edge"/>
              <c:x val="0.369582235376581"/>
              <c:y val="0.838783104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23968"/>
        <c:crosses val="autoZero"/>
        <c:crossBetween val="midCat"/>
      </c:valAx>
      <c:valAx>
        <c:axId val="710523968"/>
        <c:scaling>
          <c:orientation val="minMax"/>
          <c:max val="-0.6"/>
          <c:min val="-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vs. RHE</a:t>
                </a:r>
              </a:p>
            </c:rich>
          </c:tx>
          <c:layout>
            <c:manualLayout>
              <c:xMode val="edge"/>
              <c:yMode val="edge"/>
              <c:x val="0.022344402281878"/>
              <c:y val="0.38240185052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19696"/>
        <c:crossesAt val="-1.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H2, log scale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93315454064219"/>
                  <c:y val="-0.33164891273194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y = -6.1647x - 6.3533</a:t>
                    </a:r>
                  </a:p>
                  <a:p>
                    <a:pPr>
                      <a:defRPr>
                        <a:solidFill>
                          <a:schemeClr val="accent1"/>
                        </a:solidFill>
                      </a:defRPr>
                    </a:pPr>
                    <a:r>
                      <a:rPr lang="en-US">
                        <a:solidFill>
                          <a:schemeClr val="accent1"/>
                        </a:solidFill>
                      </a:rPr>
                      <a:t>156mV/dec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Cu!$A$4:$A$8</c:f>
              <c:numCache>
                <c:formatCode>General</c:formatCode>
                <c:ptCount val="5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</c:numCache>
            </c:numRef>
          </c:xVal>
          <c:yVal>
            <c:numRef>
              <c:f>Cu!$A$16:$A$20</c:f>
              <c:numCache>
                <c:formatCode>General</c:formatCode>
                <c:ptCount val="5"/>
                <c:pt idx="0">
                  <c:v>0.952237120813278</c:v>
                </c:pt>
                <c:pt idx="1">
                  <c:v>0.599700699941423</c:v>
                </c:pt>
                <c:pt idx="2">
                  <c:v>0.311382011506846</c:v>
                </c:pt>
                <c:pt idx="3">
                  <c:v>0.125773620692019</c:v>
                </c:pt>
                <c:pt idx="4">
                  <c:v>-0.0431569703718866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0.05"/>
            <c:backward val="0.05"/>
            <c:dispRSqr val="0"/>
            <c:dispEq val="1"/>
            <c:trendlineLbl>
              <c:layout>
                <c:manualLayout>
                  <c:x val="-0.35331752730553"/>
                  <c:y val="0.000558937320419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800" b="0" i="0" u="none" strike="noStrike" kern="1200" baseline="0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y = -0.9806x - 1.1971</a:t>
                    </a:r>
                  </a:p>
                  <a:p>
                    <a:pPr>
                      <a:defRPr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defRPr>
                    </a:pPr>
                    <a:r>
                      <a:rPr lang="en-US">
                        <a:solidFill>
                          <a:schemeClr val="accent2">
                            <a:lumMod val="60000"/>
                            <a:lumOff val="40000"/>
                          </a:schemeClr>
                        </a:solidFill>
                      </a:rPr>
                      <a:t>986mV/dec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Cu!$A$9:$A$13</c:f>
              <c:numCache>
                <c:formatCode>General</c:formatCode>
                <c:ptCount val="5"/>
                <c:pt idx="0">
                  <c:v>-0.95526</c:v>
                </c:pt>
                <c:pt idx="1">
                  <c:v>-0.88722</c:v>
                </c:pt>
                <c:pt idx="2">
                  <c:v>-0.81724</c:v>
                </c:pt>
                <c:pt idx="3">
                  <c:v>-0.74561</c:v>
                </c:pt>
                <c:pt idx="4">
                  <c:v>-0.67218</c:v>
                </c:pt>
              </c:numCache>
            </c:numRef>
          </c:xVal>
          <c:yVal>
            <c:numRef>
              <c:f>Cu!$A$21:$A$25</c:f>
              <c:numCache>
                <c:formatCode>General</c:formatCode>
                <c:ptCount val="5"/>
                <c:pt idx="0">
                  <c:v>-0.239770060658702</c:v>
                </c:pt>
                <c:pt idx="1">
                  <c:v>-0.333990548300527</c:v>
                </c:pt>
                <c:pt idx="2">
                  <c:v>-0.425349951247859</c:v>
                </c:pt>
                <c:pt idx="3">
                  <c:v>-0.466801859383608</c:v>
                </c:pt>
                <c:pt idx="4">
                  <c:v>-0.521273279878971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59296"/>
        <c:axId val="710563568"/>
      </c:scatterChart>
      <c:valAx>
        <c:axId val="710559296"/>
        <c:scaling>
          <c:orientation val="minMax"/>
          <c:max val="-0.6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vs RHE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63568"/>
        <c:crosses val="autoZero"/>
        <c:crossBetween val="midCat"/>
      </c:valAx>
      <c:valAx>
        <c:axId val="710563568"/>
        <c:scaling>
          <c:orientation val="minMax"/>
          <c:max val="1.0"/>
          <c:min val="-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logj(mA/cm2)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5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1387194187"/>
          <c:y val="0.103396135880009"/>
          <c:w val="0.504879892436515"/>
          <c:h val="0.720693598954135"/>
        </c:manualLayout>
      </c:layout>
      <c:scatterChart>
        <c:scatterStyle val="lineMarker"/>
        <c:varyColors val="0"/>
        <c:ser>
          <c:idx val="9"/>
          <c:order val="0"/>
          <c:tx>
            <c:strRef>
              <c:f>Cu!$AM$2</c:f>
              <c:strCache>
                <c:ptCount val="1"/>
                <c:pt idx="0">
                  <c:v>CO from pc Cu [Jaramillo]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Cu!$AM$4:$AM$12</c:f>
              <c:numCache>
                <c:formatCode>General</c:formatCode>
                <c:ptCount val="9"/>
                <c:pt idx="0">
                  <c:v>0.050286</c:v>
                </c:pt>
                <c:pt idx="1">
                  <c:v>0.0530362215</c:v>
                </c:pt>
                <c:pt idx="2">
                  <c:v>0.058212905</c:v>
                </c:pt>
                <c:pt idx="3">
                  <c:v>0.0634116175</c:v>
                </c:pt>
                <c:pt idx="4">
                  <c:v>0.1437937919</c:v>
                </c:pt>
                <c:pt idx="5">
                  <c:v>0.12627</c:v>
                </c:pt>
                <c:pt idx="6">
                  <c:v>0.107513952</c:v>
                </c:pt>
                <c:pt idx="7">
                  <c:v>0.0655252796</c:v>
                </c:pt>
                <c:pt idx="8">
                  <c:v>0.063338487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Cu!$AC$15</c:f>
              <c:strCache>
                <c:ptCount val="1"/>
                <c:pt idx="0">
                  <c:v>CO from OD-Cu [Kanan]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Cu!$AC$17:$AC$30</c:f>
              <c:numCache>
                <c:formatCode>General</c:formatCode>
                <c:ptCount val="14"/>
                <c:pt idx="0">
                  <c:v>4.010625E-5</c:v>
                </c:pt>
                <c:pt idx="1">
                  <c:v>9.30416666666667E-5</c:v>
                </c:pt>
                <c:pt idx="2">
                  <c:v>0.00031685625</c:v>
                </c:pt>
                <c:pt idx="3">
                  <c:v>0.000625585416666666</c:v>
                </c:pt>
                <c:pt idx="4">
                  <c:v>0.000802083333333333</c:v>
                </c:pt>
                <c:pt idx="5">
                  <c:v>0.0012765</c:v>
                </c:pt>
                <c:pt idx="6">
                  <c:v>0.001225</c:v>
                </c:pt>
                <c:pt idx="7">
                  <c:v>0.00163041666666667</c:v>
                </c:pt>
                <c:pt idx="8">
                  <c:v>0.00183595833333333</c:v>
                </c:pt>
                <c:pt idx="9">
                  <c:v>0.0020139375</c:v>
                </c:pt>
                <c:pt idx="10">
                  <c:v>0.0019603125</c:v>
                </c:pt>
                <c:pt idx="11">
                  <c:v>0.002034</c:v>
                </c:pt>
                <c:pt idx="12">
                  <c:v>0.001973125</c:v>
                </c:pt>
                <c:pt idx="13">
                  <c:v>0.002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Cu!$AN$2</c:f>
              <c:strCache>
                <c:ptCount val="1"/>
                <c:pt idx="0">
                  <c:v>HCOOH from pc Cu [Jaramillo]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Cu!$AN$4:$AN$12</c:f>
              <c:numCache>
                <c:formatCode>General</c:formatCode>
                <c:ptCount val="9"/>
                <c:pt idx="0">
                  <c:v>0.0802842</c:v>
                </c:pt>
                <c:pt idx="1">
                  <c:v>0.0993357405</c:v>
                </c:pt>
                <c:pt idx="2">
                  <c:v>0.130725335</c:v>
                </c:pt>
                <c:pt idx="3">
                  <c:v>0.1209725825</c:v>
                </c:pt>
                <c:pt idx="4">
                  <c:v>0.3827845648</c:v>
                </c:pt>
                <c:pt idx="5">
                  <c:v>0.331191875</c:v>
                </c:pt>
                <c:pt idx="6">
                  <c:v>0.302764507</c:v>
                </c:pt>
                <c:pt idx="7">
                  <c:v>0.1948338755</c:v>
                </c:pt>
                <c:pt idx="8">
                  <c:v>0.1061458062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Cu!$AB$15</c:f>
              <c:strCache>
                <c:ptCount val="1"/>
                <c:pt idx="0">
                  <c:v>HCOO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Cu!$AB$17:$AB$30</c:f>
              <c:numCache>
                <c:formatCode>General</c:formatCode>
                <c:ptCount val="14"/>
                <c:pt idx="0">
                  <c:v>4.2625E-6</c:v>
                </c:pt>
                <c:pt idx="1">
                  <c:v>9.625E-6</c:v>
                </c:pt>
                <c:pt idx="2">
                  <c:v>4.434375E-5</c:v>
                </c:pt>
                <c:pt idx="3">
                  <c:v>0.000147354166666667</c:v>
                </c:pt>
                <c:pt idx="4">
                  <c:v>0.000225</c:v>
                </c:pt>
                <c:pt idx="5">
                  <c:v>0.000912666666666666</c:v>
                </c:pt>
                <c:pt idx="6">
                  <c:v>0.0011515</c:v>
                </c:pt>
                <c:pt idx="7">
                  <c:v>0.00210166666666667</c:v>
                </c:pt>
                <c:pt idx="8">
                  <c:v>0.00214635416666667</c:v>
                </c:pt>
                <c:pt idx="9">
                  <c:v>0.00310360416666667</c:v>
                </c:pt>
                <c:pt idx="10">
                  <c:v>0.0041128125</c:v>
                </c:pt>
                <c:pt idx="11">
                  <c:v>0.00455766666666667</c:v>
                </c:pt>
                <c:pt idx="12">
                  <c:v>0.0056375</c:v>
                </c:pt>
                <c:pt idx="13">
                  <c:v>0.0031875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Cu!$AO$2</c:f>
              <c:strCache>
                <c:ptCount val="1"/>
                <c:pt idx="0">
                  <c:v>C1's from pc Cu [Jaramillo]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Cu!$AO$4:$AO$13</c:f>
              <c:numCache>
                <c:formatCode>General</c:formatCode>
                <c:ptCount val="10"/>
                <c:pt idx="0">
                  <c:v>7.112918719500001</c:v>
                </c:pt>
                <c:pt idx="1">
                  <c:v>4.9041969345</c:v>
                </c:pt>
                <c:pt idx="2">
                  <c:v>2.7355034777105</c:v>
                </c:pt>
                <c:pt idx="3">
                  <c:v>1.44365275348525</c:v>
                </c:pt>
                <c:pt idx="4">
                  <c:v>0.62234425197252</c:v>
                </c:pt>
                <c:pt idx="5">
                  <c:v>0.05955125</c:v>
                </c:pt>
                <c:pt idx="6">
                  <c:v>0.009033338</c:v>
                </c:pt>
                <c:pt idx="7">
                  <c:v>0.0011927729</c:v>
                </c:pt>
                <c:pt idx="8">
                  <c:v>0.00037734828582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Cu!$AQ$2</c:f>
              <c:strCache>
                <c:ptCount val="1"/>
                <c:pt idx="0">
                  <c:v>C2+ from pc Cu [Jaramillo]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Cu!$AQ$4:$AQ$12</c:f>
              <c:numCache>
                <c:formatCode>General</c:formatCode>
                <c:ptCount val="9"/>
                <c:pt idx="0">
                  <c:v>1.93363937352</c:v>
                </c:pt>
                <c:pt idx="1">
                  <c:v>2.80523392584435</c:v>
                </c:pt>
                <c:pt idx="2">
                  <c:v>3.152754345583001</c:v>
                </c:pt>
                <c:pt idx="3">
                  <c:v>2.396881026424501</c:v>
                </c:pt>
                <c:pt idx="4">
                  <c:v>1.08014784924519</c:v>
                </c:pt>
                <c:pt idx="5">
                  <c:v>0.31154870265625</c:v>
                </c:pt>
                <c:pt idx="6">
                  <c:v>0.044723638</c:v>
                </c:pt>
                <c:pt idx="7">
                  <c:v>0.0158149673</c:v>
                </c:pt>
                <c:pt idx="8">
                  <c:v>0.0023800251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Cu!$Q$23:$Q$30</c:f>
              <c:numCache>
                <c:formatCode>General</c:formatCode>
                <c:ptCount val="8"/>
                <c:pt idx="0">
                  <c:v>-0.5</c:v>
                </c:pt>
                <c:pt idx="1">
                  <c:v>-0.55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Cu!$AE$23:$AE$30</c:f>
              <c:numCache>
                <c:formatCode>General</c:formatCode>
                <c:ptCount val="8"/>
                <c:pt idx="0">
                  <c:v>0.0001785</c:v>
                </c:pt>
                <c:pt idx="1">
                  <c:v>0.000314166666666667</c:v>
                </c:pt>
                <c:pt idx="2">
                  <c:v>0.000667020833333333</c:v>
                </c:pt>
                <c:pt idx="3">
                  <c:v>0.00115777083333333</c:v>
                </c:pt>
                <c:pt idx="4">
                  <c:v>0.001358125</c:v>
                </c:pt>
                <c:pt idx="5">
                  <c:v>0.00337305</c:v>
                </c:pt>
                <c:pt idx="6">
                  <c:v>0.0054325</c:v>
                </c:pt>
                <c:pt idx="7">
                  <c:v>0.006690625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05776"/>
        <c:axId val="710609536"/>
      </c:scatterChart>
      <c:valAx>
        <c:axId val="710605776"/>
        <c:scaling>
          <c:orientation val="minMax"/>
          <c:max val="-0.15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layout>
            <c:manualLayout>
              <c:xMode val="edge"/>
              <c:yMode val="edge"/>
              <c:x val="0.343971622796532"/>
              <c:y val="0.89168842669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0609536"/>
        <c:crossesAt val="1.0E-6"/>
        <c:crossBetween val="midCat"/>
        <c:majorUnit val="0.2"/>
      </c:valAx>
      <c:valAx>
        <c:axId val="710609536"/>
        <c:scaling>
          <c:logBase val="10.0"/>
          <c:orientation val="minMax"/>
          <c:max val="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-25000"/>
                  <a:t>real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145947229654489"/>
              <c:y val="0.3717281545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0605776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9001311022729"/>
          <c:y val="0.108724357947669"/>
          <c:w val="0.321544468231379"/>
          <c:h val="0.72495695685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Ag!$P$3</c:f>
              <c:strCache>
                <c:ptCount val="1"/>
                <c:pt idx="0">
                  <c:v>HCOO-</c:v>
                </c:pt>
              </c:strCache>
            </c:strRef>
          </c:tx>
          <c:xVal>
            <c:numRef>
              <c:f>Ag!$A$4:$A$16</c:f>
              <c:numCache>
                <c:formatCode>General</c:formatCode>
                <c:ptCount val="13"/>
                <c:pt idx="0">
                  <c:v>-0.599937498305535</c:v>
                </c:pt>
                <c:pt idx="1">
                  <c:v>-0.674112916555482</c:v>
                </c:pt>
                <c:pt idx="2">
                  <c:v>-0.747062135223292</c:v>
                </c:pt>
                <c:pt idx="3">
                  <c:v>-0.821230172862962</c:v>
                </c:pt>
                <c:pt idx="4">
                  <c:v>-0.891597843575129</c:v>
                </c:pt>
                <c:pt idx="5">
                  <c:v>-0.953201689806917</c:v>
                </c:pt>
                <c:pt idx="6">
                  <c:v>-1.021194457674505</c:v>
                </c:pt>
                <c:pt idx="7">
                  <c:v>-1.086976452801897</c:v>
                </c:pt>
                <c:pt idx="8">
                  <c:v>-1.156202439128903</c:v>
                </c:pt>
                <c:pt idx="9">
                  <c:v>-1.227388238194018</c:v>
                </c:pt>
                <c:pt idx="10">
                  <c:v>-1.293527460566898</c:v>
                </c:pt>
                <c:pt idx="11">
                  <c:v>-1.350573437466547</c:v>
                </c:pt>
                <c:pt idx="12">
                  <c:v>-1.413000757565602</c:v>
                </c:pt>
              </c:numCache>
            </c:numRef>
          </c:xVal>
          <c:yVal>
            <c:numRef>
              <c:f>Ag!$P$4:$P$16</c:f>
              <c:numCache>
                <c:formatCode>General</c:formatCode>
                <c:ptCount val="13"/>
                <c:pt idx="0">
                  <c:v>-0.00180581197829236</c:v>
                </c:pt>
                <c:pt idx="1">
                  <c:v>-0.00708015417395073</c:v>
                </c:pt>
                <c:pt idx="2">
                  <c:v>-0.00193734334035638</c:v>
                </c:pt>
                <c:pt idx="3">
                  <c:v>-0.00937660139875284</c:v>
                </c:pt>
                <c:pt idx="4">
                  <c:v>-0.0117501203876229</c:v>
                </c:pt>
                <c:pt idx="5">
                  <c:v>-0.0316909326686355</c:v>
                </c:pt>
                <c:pt idx="6">
                  <c:v>-0.0717866754156375</c:v>
                </c:pt>
                <c:pt idx="7">
                  <c:v>-0.131364659562162</c:v>
                </c:pt>
                <c:pt idx="8">
                  <c:v>-0.182592157573525</c:v>
                </c:pt>
                <c:pt idx="9">
                  <c:v>-0.325877934572133</c:v>
                </c:pt>
                <c:pt idx="10">
                  <c:v>-0.530922191556824</c:v>
                </c:pt>
                <c:pt idx="11">
                  <c:v>-0.60224508569619</c:v>
                </c:pt>
                <c:pt idx="12">
                  <c:v>-0.740295043535019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C9-4FCC-8D9E-3FC32BF22C9C}"/>
            </c:ext>
          </c:extLst>
        </c:ser>
        <c:ser>
          <c:idx val="1"/>
          <c:order val="1"/>
          <c:tx>
            <c:strRef>
              <c:f>Ag!$O$3</c:f>
              <c:strCache>
                <c:ptCount val="1"/>
                <c:pt idx="0">
                  <c:v>CO</c:v>
                </c:pt>
              </c:strCache>
            </c:strRef>
          </c:tx>
          <c:xVal>
            <c:numRef>
              <c:f>Ag!$A$4:$A$16</c:f>
              <c:numCache>
                <c:formatCode>General</c:formatCode>
                <c:ptCount val="13"/>
                <c:pt idx="0">
                  <c:v>-0.599937498305535</c:v>
                </c:pt>
                <c:pt idx="1">
                  <c:v>-0.674112916555482</c:v>
                </c:pt>
                <c:pt idx="2">
                  <c:v>-0.747062135223292</c:v>
                </c:pt>
                <c:pt idx="3">
                  <c:v>-0.821230172862962</c:v>
                </c:pt>
                <c:pt idx="4">
                  <c:v>-0.891597843575129</c:v>
                </c:pt>
                <c:pt idx="5">
                  <c:v>-0.953201689806917</c:v>
                </c:pt>
                <c:pt idx="6">
                  <c:v>-1.021194457674505</c:v>
                </c:pt>
                <c:pt idx="7">
                  <c:v>-1.086976452801897</c:v>
                </c:pt>
                <c:pt idx="8">
                  <c:v>-1.156202439128903</c:v>
                </c:pt>
                <c:pt idx="9">
                  <c:v>-1.227388238194018</c:v>
                </c:pt>
                <c:pt idx="10">
                  <c:v>-1.293527460566898</c:v>
                </c:pt>
                <c:pt idx="11">
                  <c:v>-1.350573437466547</c:v>
                </c:pt>
                <c:pt idx="12">
                  <c:v>-1.413000757565602</c:v>
                </c:pt>
              </c:numCache>
            </c:numRef>
          </c:xVal>
          <c:yVal>
            <c:numRef>
              <c:f>Ag!$O$4:$O$16</c:f>
              <c:numCache>
                <c:formatCode>General</c:formatCode>
                <c:ptCount val="13"/>
                <c:pt idx="0">
                  <c:v>-0.00715499469332636</c:v>
                </c:pt>
                <c:pt idx="1">
                  <c:v>-0.0241083340243958</c:v>
                </c:pt>
                <c:pt idx="2">
                  <c:v>-0.101015206638534</c:v>
                </c:pt>
                <c:pt idx="3">
                  <c:v>-0.310527724284836</c:v>
                </c:pt>
                <c:pt idx="4">
                  <c:v>-0.794848783945552</c:v>
                </c:pt>
                <c:pt idx="5">
                  <c:v>-2.12477919258471</c:v>
                </c:pt>
                <c:pt idx="6">
                  <c:v>-3.751871526256046</c:v>
                </c:pt>
                <c:pt idx="7">
                  <c:v>-4.592169174545311</c:v>
                </c:pt>
                <c:pt idx="8">
                  <c:v>-4.743798498161316</c:v>
                </c:pt>
                <c:pt idx="9">
                  <c:v>-4.732684574990221</c:v>
                </c:pt>
                <c:pt idx="10">
                  <c:v>-4.578128431742474</c:v>
                </c:pt>
                <c:pt idx="11">
                  <c:v>-3.558143867462955</c:v>
                </c:pt>
                <c:pt idx="12">
                  <c:v>-2.98328560249108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C9-4FCC-8D9E-3FC32BF22C9C}"/>
            </c:ext>
          </c:extLst>
        </c:ser>
        <c:ser>
          <c:idx val="2"/>
          <c:order val="2"/>
          <c:tx>
            <c:strRef>
              <c:f>Ag!$L$18</c:f>
              <c:strCache>
                <c:ptCount val="1"/>
              </c:strCache>
            </c:strRef>
          </c:tx>
          <c:xVal>
            <c:numRef>
              <c:f>Ag!$A$4:$A$16</c:f>
              <c:numCache>
                <c:formatCode>General</c:formatCode>
                <c:ptCount val="13"/>
                <c:pt idx="0">
                  <c:v>-0.599937498305535</c:v>
                </c:pt>
                <c:pt idx="1">
                  <c:v>-0.674112916555482</c:v>
                </c:pt>
                <c:pt idx="2">
                  <c:v>-0.747062135223292</c:v>
                </c:pt>
                <c:pt idx="3">
                  <c:v>-0.821230172862962</c:v>
                </c:pt>
                <c:pt idx="4">
                  <c:v>-0.891597843575129</c:v>
                </c:pt>
                <c:pt idx="5">
                  <c:v>-0.953201689806917</c:v>
                </c:pt>
                <c:pt idx="6">
                  <c:v>-1.021194457674505</c:v>
                </c:pt>
                <c:pt idx="7">
                  <c:v>-1.086976452801897</c:v>
                </c:pt>
                <c:pt idx="8">
                  <c:v>-1.156202439128903</c:v>
                </c:pt>
                <c:pt idx="9">
                  <c:v>-1.227388238194018</c:v>
                </c:pt>
                <c:pt idx="10">
                  <c:v>-1.293527460566898</c:v>
                </c:pt>
                <c:pt idx="11">
                  <c:v>-1.350573437466547</c:v>
                </c:pt>
                <c:pt idx="12">
                  <c:v>-1.413000757565602</c:v>
                </c:pt>
              </c:numCache>
            </c:numRef>
          </c:xVal>
          <c:yVal>
            <c:numRef>
              <c:f>Ag!$L$19:$L$31</c:f>
              <c:numCache>
                <c:formatCode>General</c:formatCode>
                <c:ptCount val="1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C9-4FCC-8D9E-3FC32BF22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46128"/>
        <c:axId val="732748880"/>
      </c:scatterChart>
      <c:valAx>
        <c:axId val="73274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748880"/>
        <c:crosses val="autoZero"/>
        <c:crossBetween val="midCat"/>
      </c:valAx>
      <c:valAx>
        <c:axId val="732748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274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Ag!$A$4:$A$16</c:f>
              <c:numCache>
                <c:formatCode>General</c:formatCode>
                <c:ptCount val="13"/>
                <c:pt idx="0">
                  <c:v>-0.599937498305535</c:v>
                </c:pt>
                <c:pt idx="1">
                  <c:v>-0.674112916555482</c:v>
                </c:pt>
                <c:pt idx="2">
                  <c:v>-0.747062135223292</c:v>
                </c:pt>
                <c:pt idx="3">
                  <c:v>-0.821230172862962</c:v>
                </c:pt>
                <c:pt idx="4">
                  <c:v>-0.891597843575129</c:v>
                </c:pt>
                <c:pt idx="5">
                  <c:v>-0.953201689806917</c:v>
                </c:pt>
                <c:pt idx="6">
                  <c:v>-1.021194457674505</c:v>
                </c:pt>
                <c:pt idx="7">
                  <c:v>-1.086976452801897</c:v>
                </c:pt>
                <c:pt idx="8">
                  <c:v>-1.156202439128903</c:v>
                </c:pt>
                <c:pt idx="9">
                  <c:v>-1.227388238194018</c:v>
                </c:pt>
                <c:pt idx="10">
                  <c:v>-1.293527460566898</c:v>
                </c:pt>
                <c:pt idx="11">
                  <c:v>-1.350573437466547</c:v>
                </c:pt>
                <c:pt idx="12">
                  <c:v>-1.413000757565602</c:v>
                </c:pt>
              </c:numCache>
            </c:numRef>
          </c:xVal>
          <c:yVal>
            <c:numRef>
              <c:f>Ag!$M$4:$M$16</c:f>
              <c:numCache>
                <c:formatCode>General</c:formatCode>
                <c:ptCount val="13"/>
                <c:pt idx="0">
                  <c:v>-0.243184719205042</c:v>
                </c:pt>
                <c:pt idx="1">
                  <c:v>-0.289532264383029</c:v>
                </c:pt>
                <c:pt idx="2">
                  <c:v>-0.411429806687699</c:v>
                </c:pt>
                <c:pt idx="3">
                  <c:v>-0.271674294429683</c:v>
                </c:pt>
                <c:pt idx="4">
                  <c:v>-0.396354991217303</c:v>
                </c:pt>
                <c:pt idx="5">
                  <c:v>-0.576236065445941</c:v>
                </c:pt>
                <c:pt idx="6">
                  <c:v>-0.219937173797674</c:v>
                </c:pt>
                <c:pt idx="7">
                  <c:v>-0.665372875485718</c:v>
                </c:pt>
                <c:pt idx="8">
                  <c:v>-0.325989407739985</c:v>
                </c:pt>
                <c:pt idx="9">
                  <c:v>-1.05754061608901</c:v>
                </c:pt>
                <c:pt idx="10">
                  <c:v>-2.512247344190438</c:v>
                </c:pt>
                <c:pt idx="11">
                  <c:v>-5.036346701697305</c:v>
                </c:pt>
                <c:pt idx="12">
                  <c:v>-7.546761331871574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768752"/>
        <c:axId val="732771232"/>
      </c:scatterChart>
      <c:valAx>
        <c:axId val="7327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71232"/>
        <c:crosses val="autoZero"/>
        <c:crossBetween val="midCat"/>
      </c:valAx>
      <c:valAx>
        <c:axId val="7327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Zn!$A$4:$A$10</c:f>
              <c:numCache>
                <c:formatCode>General</c:formatCode>
                <c:ptCount val="7"/>
                <c:pt idx="0">
                  <c:v>-0.74914</c:v>
                </c:pt>
                <c:pt idx="1">
                  <c:v>-0.89629</c:v>
                </c:pt>
                <c:pt idx="2">
                  <c:v>-1.04098</c:v>
                </c:pt>
                <c:pt idx="3">
                  <c:v>-1.17619</c:v>
                </c:pt>
                <c:pt idx="4">
                  <c:v>-1.31267</c:v>
                </c:pt>
                <c:pt idx="5">
                  <c:v>-1.4414</c:v>
                </c:pt>
                <c:pt idx="6">
                  <c:v>-1.55734</c:v>
                </c:pt>
              </c:numCache>
            </c:numRef>
          </c:xVal>
          <c:yVal>
            <c:numRef>
              <c:f>Zn!$K$4:$K$10</c:f>
              <c:numCache>
                <c:formatCode>General</c:formatCode>
                <c:ptCount val="7"/>
                <c:pt idx="0">
                  <c:v>-0.01409</c:v>
                </c:pt>
                <c:pt idx="1">
                  <c:v>-0.03286</c:v>
                </c:pt>
                <c:pt idx="2">
                  <c:v>-0.11102</c:v>
                </c:pt>
                <c:pt idx="3">
                  <c:v>-0.41795</c:v>
                </c:pt>
                <c:pt idx="4">
                  <c:v>-0.61428</c:v>
                </c:pt>
                <c:pt idx="5">
                  <c:v>-0.80867</c:v>
                </c:pt>
                <c:pt idx="6">
                  <c:v>-0.56708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8D-4F20-BCA5-E384C18B3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77232"/>
        <c:axId val="620381056"/>
      </c:scatterChart>
      <c:valAx>
        <c:axId val="62037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0381056"/>
        <c:crosses val="autoZero"/>
        <c:crossBetween val="midCat"/>
      </c:valAx>
      <c:valAx>
        <c:axId val="620381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0377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79984"/>
        <c:axId val="732131232"/>
      </c:scatterChart>
      <c:valAx>
        <c:axId val="73207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131232"/>
        <c:crosses val="autoZero"/>
        <c:crossBetween val="midCat"/>
      </c:valAx>
      <c:valAx>
        <c:axId val="7321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7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Ni!$A$4:$A$10</c:f>
              <c:numCache>
                <c:formatCode>General</c:formatCode>
                <c:ptCount val="7"/>
                <c:pt idx="0">
                  <c:v>-0.650111623505787</c:v>
                </c:pt>
                <c:pt idx="1">
                  <c:v>-0.747882360642501</c:v>
                </c:pt>
                <c:pt idx="2">
                  <c:v>-0.820329413578805</c:v>
                </c:pt>
                <c:pt idx="3">
                  <c:v>-0.890028490176175</c:v>
                </c:pt>
                <c:pt idx="4">
                  <c:v>-0.948237471825528</c:v>
                </c:pt>
                <c:pt idx="5">
                  <c:v>-1.002572519795702</c:v>
                </c:pt>
                <c:pt idx="6">
                  <c:v>-1.041462073888872</c:v>
                </c:pt>
              </c:numCache>
            </c:numRef>
          </c:xVal>
          <c:yVal>
            <c:numRef>
              <c:f>Ni!$L$4:$L$10</c:f>
              <c:numCache>
                <c:formatCode>General</c:formatCode>
                <c:ptCount val="7"/>
                <c:pt idx="1">
                  <c:v>-0.000745980511422073</c:v>
                </c:pt>
                <c:pt idx="2">
                  <c:v>-0.00234621731566161</c:v>
                </c:pt>
                <c:pt idx="3">
                  <c:v>-0.00660658616257788</c:v>
                </c:pt>
                <c:pt idx="4">
                  <c:v>-0.010127854109533</c:v>
                </c:pt>
                <c:pt idx="5">
                  <c:v>-0.0256934298903811</c:v>
                </c:pt>
                <c:pt idx="6">
                  <c:v>-0.0392932481112946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58624"/>
        <c:axId val="710661104"/>
      </c:scatterChart>
      <c:valAx>
        <c:axId val="71065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61104"/>
        <c:crosses val="autoZero"/>
        <c:crossBetween val="midCat"/>
      </c:valAx>
      <c:valAx>
        <c:axId val="71066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5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methane current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Ni!$A$4:$A$10</c:f>
              <c:numCache>
                <c:formatCode>General</c:formatCode>
                <c:ptCount val="7"/>
                <c:pt idx="0">
                  <c:v>-0.650111623505787</c:v>
                </c:pt>
                <c:pt idx="1">
                  <c:v>-0.747882360642501</c:v>
                </c:pt>
                <c:pt idx="2">
                  <c:v>-0.820329413578805</c:v>
                </c:pt>
                <c:pt idx="3">
                  <c:v>-0.890028490176175</c:v>
                </c:pt>
                <c:pt idx="4">
                  <c:v>-0.948237471825528</c:v>
                </c:pt>
                <c:pt idx="5">
                  <c:v>-1.002572519795702</c:v>
                </c:pt>
                <c:pt idx="6">
                  <c:v>-1.041462073888872</c:v>
                </c:pt>
              </c:numCache>
            </c:numRef>
          </c:xVal>
          <c:yVal>
            <c:numRef>
              <c:f>Ni!$AF$4:$AF$10</c:f>
              <c:numCache>
                <c:formatCode>General</c:formatCode>
                <c:ptCount val="7"/>
                <c:pt idx="1">
                  <c:v>0.158977651256125</c:v>
                </c:pt>
                <c:pt idx="2">
                  <c:v>0.311593548128936</c:v>
                </c:pt>
                <c:pt idx="3">
                  <c:v>0.535567381472922</c:v>
                </c:pt>
                <c:pt idx="4">
                  <c:v>0.360926470032647</c:v>
                </c:pt>
                <c:pt idx="5">
                  <c:v>0.519426649714138</c:v>
                </c:pt>
                <c:pt idx="6">
                  <c:v>0.386689995134099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81232"/>
        <c:axId val="710683712"/>
      </c:scatterChart>
      <c:valAx>
        <c:axId val="7106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3712"/>
        <c:crosses val="autoZero"/>
        <c:crossBetween val="midCat"/>
      </c:valAx>
      <c:valAx>
        <c:axId val="71068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Fe!$A$8:$A$10</c:f>
              <c:numCache>
                <c:formatCode>General</c:formatCode>
                <c:ptCount val="3"/>
                <c:pt idx="0">
                  <c:v>-0.54198</c:v>
                </c:pt>
                <c:pt idx="1">
                  <c:v>-0.58291</c:v>
                </c:pt>
                <c:pt idx="2">
                  <c:v>-0.62629</c:v>
                </c:pt>
              </c:numCache>
            </c:numRef>
          </c:xVal>
          <c:yVal>
            <c:numRef>
              <c:f>Fe!$G$8:$G$10</c:f>
              <c:numCache>
                <c:formatCode>0.00E+00</c:formatCode>
                <c:ptCount val="3"/>
                <c:pt idx="0">
                  <c:v>-0.000519810639099223</c:v>
                </c:pt>
                <c:pt idx="1">
                  <c:v>-0.000484659981950538</c:v>
                </c:pt>
                <c:pt idx="2">
                  <c:v>-0.000652479756802794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404704"/>
        <c:axId val="619496032"/>
      </c:scatterChart>
      <c:valAx>
        <c:axId val="61940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96032"/>
        <c:crosses val="autoZero"/>
        <c:crossBetween val="midCat"/>
      </c:valAx>
      <c:valAx>
        <c:axId val="61949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0"/>
          <c:tx>
            <c:v>beyond 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Cu!$AP$4:$AP$13</c:f>
              <c:numCache>
                <c:formatCode>General</c:formatCode>
                <c:ptCount val="10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  <c:pt idx="9">
                  <c:v>-480.0</c:v>
                </c:pt>
              </c:numCache>
            </c:numRef>
          </c:yVal>
          <c:smooth val="1"/>
        </c:ser>
        <c:ser>
          <c:idx val="6"/>
          <c:order val="1"/>
          <c:tx>
            <c:v>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Cu!$W$4:$W$13</c:f>
              <c:numCache>
                <c:formatCode>General</c:formatCode>
                <c:ptCount val="10"/>
                <c:pt idx="0">
                  <c:v>-0.050286</c:v>
                </c:pt>
                <c:pt idx="1">
                  <c:v>-0.0530362215</c:v>
                </c:pt>
                <c:pt idx="2">
                  <c:v>-0.058212905</c:v>
                </c:pt>
                <c:pt idx="3">
                  <c:v>-0.0634116175</c:v>
                </c:pt>
                <c:pt idx="4">
                  <c:v>-0.1437937919</c:v>
                </c:pt>
                <c:pt idx="5">
                  <c:v>-0.12627</c:v>
                </c:pt>
                <c:pt idx="6">
                  <c:v>-0.107513952</c:v>
                </c:pt>
                <c:pt idx="7">
                  <c:v>-0.0655252796</c:v>
                </c:pt>
                <c:pt idx="8">
                  <c:v>-0.063338487</c:v>
                </c:pt>
                <c:pt idx="9">
                  <c:v>-0.0725805954</c:v>
                </c:pt>
              </c:numCache>
            </c:numRef>
          </c:yVal>
          <c:smooth val="1"/>
        </c:ser>
        <c:ser>
          <c:idx val="7"/>
          <c:order val="2"/>
          <c:tx>
            <c:v>formate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Cu!$V$4:$V$13</c:f>
              <c:numCache>
                <c:formatCode>General</c:formatCode>
                <c:ptCount val="10"/>
                <c:pt idx="0">
                  <c:v>-0.0802842</c:v>
                </c:pt>
                <c:pt idx="1">
                  <c:v>-0.0993357405</c:v>
                </c:pt>
                <c:pt idx="2">
                  <c:v>-0.130725335</c:v>
                </c:pt>
                <c:pt idx="3">
                  <c:v>-0.1209725825</c:v>
                </c:pt>
                <c:pt idx="4">
                  <c:v>-0.3827845648</c:v>
                </c:pt>
                <c:pt idx="5">
                  <c:v>-0.331191875</c:v>
                </c:pt>
                <c:pt idx="6">
                  <c:v>-0.302764507</c:v>
                </c:pt>
                <c:pt idx="7">
                  <c:v>-0.1948338755</c:v>
                </c:pt>
                <c:pt idx="8">
                  <c:v>-0.1061458062</c:v>
                </c:pt>
                <c:pt idx="9">
                  <c:v>-0.0339507729</c:v>
                </c:pt>
              </c:numCache>
            </c:numRef>
          </c:yVal>
          <c:smooth val="1"/>
        </c:ser>
        <c:ser>
          <c:idx val="8"/>
          <c:order val="3"/>
          <c:tx>
            <c:v>Kanan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Cu!$M$17:$M$22</c:f>
              <c:numCache>
                <c:formatCode>General</c:formatCode>
                <c:ptCount val="6"/>
                <c:pt idx="0">
                  <c:v>0.0464688</c:v>
                </c:pt>
                <c:pt idx="1">
                  <c:v>0.162735</c:v>
                </c:pt>
                <c:pt idx="2">
                  <c:v>0.274188</c:v>
                </c:pt>
                <c:pt idx="3">
                  <c:v>0.4329</c:v>
                </c:pt>
                <c:pt idx="4">
                  <c:v>0.5175</c:v>
                </c:pt>
                <c:pt idx="5">
                  <c:v>0.58176</c:v>
                </c:pt>
              </c:numCache>
            </c:numRef>
          </c:yVal>
          <c:smooth val="1"/>
        </c:ser>
        <c:ser>
          <c:idx val="9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Au!$K$5:$K$12</c:f>
              <c:numCache>
                <c:formatCode>General</c:formatCode>
                <c:ptCount val="8"/>
                <c:pt idx="0">
                  <c:v>-0.304379066666666</c:v>
                </c:pt>
                <c:pt idx="1">
                  <c:v>-1.524665625</c:v>
                </c:pt>
                <c:pt idx="2">
                  <c:v>-3.291872666666664</c:v>
                </c:pt>
                <c:pt idx="3">
                  <c:v>-3.467079333333336</c:v>
                </c:pt>
                <c:pt idx="4">
                  <c:v>-3.84825375</c:v>
                </c:pt>
                <c:pt idx="5">
                  <c:v>-4.332597499999999</c:v>
                </c:pt>
                <c:pt idx="6">
                  <c:v>-3.991719333333334</c:v>
                </c:pt>
                <c:pt idx="7">
                  <c:v>-3.2515025</c:v>
                </c:pt>
              </c:numCache>
            </c:numRef>
          </c:yVal>
          <c:smooth val="1"/>
        </c:ser>
        <c:ser>
          <c:idx val="1"/>
          <c:order val="5"/>
          <c:tx>
            <c:v>beyond 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Cu!$AP$4:$AP$13</c:f>
              <c:numCache>
                <c:formatCode>General</c:formatCode>
                <c:ptCount val="10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  <c:pt idx="9">
                  <c:v>-480.0</c:v>
                </c:pt>
              </c:numCache>
            </c:numRef>
          </c:yVal>
          <c:smooth val="1"/>
        </c:ser>
        <c:ser>
          <c:idx val="2"/>
          <c:order val="6"/>
          <c:tx>
            <c:v>CO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Cu!$W$4:$W$13</c:f>
              <c:numCache>
                <c:formatCode>General</c:formatCode>
                <c:ptCount val="10"/>
                <c:pt idx="0">
                  <c:v>-0.050286</c:v>
                </c:pt>
                <c:pt idx="1">
                  <c:v>-0.0530362215</c:v>
                </c:pt>
                <c:pt idx="2">
                  <c:v>-0.058212905</c:v>
                </c:pt>
                <c:pt idx="3">
                  <c:v>-0.0634116175</c:v>
                </c:pt>
                <c:pt idx="4">
                  <c:v>-0.1437937919</c:v>
                </c:pt>
                <c:pt idx="5">
                  <c:v>-0.12627</c:v>
                </c:pt>
                <c:pt idx="6">
                  <c:v>-0.107513952</c:v>
                </c:pt>
                <c:pt idx="7">
                  <c:v>-0.0655252796</c:v>
                </c:pt>
                <c:pt idx="8">
                  <c:v>-0.063338487</c:v>
                </c:pt>
                <c:pt idx="9">
                  <c:v>-0.0725805954</c:v>
                </c:pt>
              </c:numCache>
            </c:numRef>
          </c:yVal>
          <c:smooth val="1"/>
        </c:ser>
        <c:ser>
          <c:idx val="3"/>
          <c:order val="7"/>
          <c:tx>
            <c:v>formate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Cu!$V$4:$V$13</c:f>
              <c:numCache>
                <c:formatCode>General</c:formatCode>
                <c:ptCount val="10"/>
                <c:pt idx="0">
                  <c:v>-0.0802842</c:v>
                </c:pt>
                <c:pt idx="1">
                  <c:v>-0.0993357405</c:v>
                </c:pt>
                <c:pt idx="2">
                  <c:v>-0.130725335</c:v>
                </c:pt>
                <c:pt idx="3">
                  <c:v>-0.1209725825</c:v>
                </c:pt>
                <c:pt idx="4">
                  <c:v>-0.3827845648</c:v>
                </c:pt>
                <c:pt idx="5">
                  <c:v>-0.331191875</c:v>
                </c:pt>
                <c:pt idx="6">
                  <c:v>-0.302764507</c:v>
                </c:pt>
                <c:pt idx="7">
                  <c:v>-0.1948338755</c:v>
                </c:pt>
                <c:pt idx="8">
                  <c:v>-0.1061458062</c:v>
                </c:pt>
                <c:pt idx="9">
                  <c:v>-0.0339507729</c:v>
                </c:pt>
              </c:numCache>
            </c:numRef>
          </c:yVal>
          <c:smooth val="1"/>
        </c:ser>
        <c:ser>
          <c:idx val="4"/>
          <c:order val="8"/>
          <c:tx>
            <c:v>Kanan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Cu!$M$17:$M$22</c:f>
              <c:numCache>
                <c:formatCode>General</c:formatCode>
                <c:ptCount val="6"/>
                <c:pt idx="0">
                  <c:v>0.0464688</c:v>
                </c:pt>
                <c:pt idx="1">
                  <c:v>0.162735</c:v>
                </c:pt>
                <c:pt idx="2">
                  <c:v>0.274188</c:v>
                </c:pt>
                <c:pt idx="3">
                  <c:v>0.4329</c:v>
                </c:pt>
                <c:pt idx="4">
                  <c:v>0.5175</c:v>
                </c:pt>
                <c:pt idx="5">
                  <c:v>0.58176</c:v>
                </c:pt>
              </c:numCache>
            </c:numRef>
          </c:yVal>
          <c:smooth val="1"/>
        </c:ser>
        <c:ser>
          <c:idx val="0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Au!$K$5:$K$12</c:f>
              <c:numCache>
                <c:formatCode>General</c:formatCode>
                <c:ptCount val="8"/>
                <c:pt idx="0">
                  <c:v>-0.304379066666666</c:v>
                </c:pt>
                <c:pt idx="1">
                  <c:v>-1.524665625</c:v>
                </c:pt>
                <c:pt idx="2">
                  <c:v>-3.291872666666664</c:v>
                </c:pt>
                <c:pt idx="3">
                  <c:v>-3.467079333333336</c:v>
                </c:pt>
                <c:pt idx="4">
                  <c:v>-3.84825375</c:v>
                </c:pt>
                <c:pt idx="5">
                  <c:v>-4.332597499999999</c:v>
                </c:pt>
                <c:pt idx="6">
                  <c:v>-3.991719333333334</c:v>
                </c:pt>
                <c:pt idx="7">
                  <c:v>-3.2515025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00608"/>
        <c:axId val="710403088"/>
      </c:scatterChart>
      <c:valAx>
        <c:axId val="71040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03088"/>
        <c:crosses val="autoZero"/>
        <c:crossBetween val="midCat"/>
      </c:valAx>
      <c:valAx>
        <c:axId val="71040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4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82530267929"/>
          <c:y val="0.194781344502861"/>
          <c:w val="0.695794618235739"/>
          <c:h val="0.629846771564895"/>
        </c:manualLayout>
      </c:layout>
      <c:scatterChart>
        <c:scatterStyle val="smoothMarker"/>
        <c:varyColors val="0"/>
        <c:ser>
          <c:idx val="9"/>
          <c:order val="0"/>
          <c:tx>
            <c:v>CO from pc Au [1]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ser>
          <c:idx val="0"/>
          <c:order val="1"/>
          <c:tx>
            <c:v>CO from OD-Au [2]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xVal>
            <c:numRef>
              <c:f>Cu!$E$46:$E$55</c:f>
              <c:numCache>
                <c:formatCode>General</c:formatCode>
                <c:ptCount val="10"/>
                <c:pt idx="0">
                  <c:v>-0.200126224</c:v>
                </c:pt>
                <c:pt idx="1">
                  <c:v>-0.22830184</c:v>
                </c:pt>
                <c:pt idx="2">
                  <c:v>-0.25188975</c:v>
                </c:pt>
                <c:pt idx="3">
                  <c:v>-0.27659518</c:v>
                </c:pt>
                <c:pt idx="4">
                  <c:v>-0.30135235</c:v>
                </c:pt>
                <c:pt idx="5">
                  <c:v>-0.32618953</c:v>
                </c:pt>
                <c:pt idx="6">
                  <c:v>-0.34868816</c:v>
                </c:pt>
                <c:pt idx="7">
                  <c:v>-0.39960237</c:v>
                </c:pt>
                <c:pt idx="8">
                  <c:v>-0.4518082</c:v>
                </c:pt>
                <c:pt idx="9">
                  <c:v>-0.50040735</c:v>
                </c:pt>
              </c:numCache>
            </c:numRef>
          </c:xVal>
          <c:yVal>
            <c:numRef>
              <c:f>Cu!$G$46:$G$55</c:f>
              <c:numCache>
                <c:formatCode>General</c:formatCode>
                <c:ptCount val="10"/>
                <c:pt idx="0">
                  <c:v>0.02186138</c:v>
                </c:pt>
                <c:pt idx="1">
                  <c:v>0.103344955</c:v>
                </c:pt>
                <c:pt idx="2">
                  <c:v>0.22974646</c:v>
                </c:pt>
                <c:pt idx="3">
                  <c:v>0.70567423</c:v>
                </c:pt>
                <c:pt idx="4">
                  <c:v>1.7101331</c:v>
                </c:pt>
                <c:pt idx="5">
                  <c:v>2.8733082</c:v>
                </c:pt>
                <c:pt idx="6">
                  <c:v>4.0625844</c:v>
                </c:pt>
                <c:pt idx="7">
                  <c:v>9.049286</c:v>
                </c:pt>
                <c:pt idx="8">
                  <c:v>12.548842</c:v>
                </c:pt>
                <c:pt idx="9">
                  <c:v>21.12016</c:v>
                </c:pt>
              </c:numCache>
            </c:numRef>
          </c:yVal>
          <c:smooth val="1"/>
        </c:ser>
        <c:ser>
          <c:idx val="1"/>
          <c:order val="2"/>
          <c:tx>
            <c:v>HCOO- from pc 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1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Cu!$I$61:$I$65</c:f>
              <c:numCache>
                <c:formatCode>General</c:formatCode>
                <c:ptCount val="5"/>
                <c:pt idx="0">
                  <c:v>-0.798263</c:v>
                </c:pt>
                <c:pt idx="1">
                  <c:v>-0.8496278</c:v>
                </c:pt>
                <c:pt idx="2">
                  <c:v>-0.8995037</c:v>
                </c:pt>
                <c:pt idx="3">
                  <c:v>-0.9501241</c:v>
                </c:pt>
                <c:pt idx="4">
                  <c:v>-0.9985112</c:v>
                </c:pt>
              </c:numCache>
            </c:numRef>
          </c:xVal>
          <c:yVal>
            <c:numRef>
              <c:f>Cu!$K$61:$K$65</c:f>
              <c:numCache>
                <c:formatCode>0.00E+00</c:formatCode>
                <c:ptCount val="5"/>
                <c:pt idx="0">
                  <c:v>0.005009145</c:v>
                </c:pt>
                <c:pt idx="1">
                  <c:v>0.025091533</c:v>
                </c:pt>
                <c:pt idx="2">
                  <c:v>0.06684349</c:v>
                </c:pt>
                <c:pt idx="3">
                  <c:v>0.11029433</c:v>
                </c:pt>
                <c:pt idx="4">
                  <c:v>0.22138779</c:v>
                </c:pt>
              </c:numCache>
            </c:numRef>
          </c:yVal>
          <c:smooth val="1"/>
        </c:ser>
        <c:ser>
          <c:idx val="2"/>
          <c:order val="3"/>
          <c:tx>
            <c:v>HCOO- from OD-Pb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Cu!$E$61:$E$69</c:f>
              <c:numCache>
                <c:formatCode>General</c:formatCode>
                <c:ptCount val="9"/>
                <c:pt idx="0">
                  <c:v>-0.6992556</c:v>
                </c:pt>
                <c:pt idx="1">
                  <c:v>-0.72531015</c:v>
                </c:pt>
                <c:pt idx="2">
                  <c:v>-0.75062037</c:v>
                </c:pt>
                <c:pt idx="3">
                  <c:v>-0.7759305</c:v>
                </c:pt>
                <c:pt idx="4">
                  <c:v>-0.8012407</c:v>
                </c:pt>
                <c:pt idx="5">
                  <c:v>-0.82282877</c:v>
                </c:pt>
                <c:pt idx="6">
                  <c:v>-0.8503722</c:v>
                </c:pt>
                <c:pt idx="7">
                  <c:v>-0.8972705</c:v>
                </c:pt>
                <c:pt idx="8">
                  <c:v>-0.9985112</c:v>
                </c:pt>
              </c:numCache>
            </c:numRef>
          </c:xVal>
          <c:yVal>
            <c:numRef>
              <c:f>Cu!$G$61:$G$69</c:f>
              <c:numCache>
                <c:formatCode>0.00E+00</c:formatCode>
                <c:ptCount val="9"/>
                <c:pt idx="0">
                  <c:v>0.021080314</c:v>
                </c:pt>
                <c:pt idx="1">
                  <c:v>0.051473526</c:v>
                </c:pt>
                <c:pt idx="2">
                  <c:v>0.10559434</c:v>
                </c:pt>
                <c:pt idx="3">
                  <c:v>0.1780701</c:v>
                </c:pt>
                <c:pt idx="4">
                  <c:v>0.27524302</c:v>
                </c:pt>
                <c:pt idx="5">
                  <c:v>0.38155777</c:v>
                </c:pt>
                <c:pt idx="6">
                  <c:v>0.5289374</c:v>
                </c:pt>
                <c:pt idx="7">
                  <c:v>0.95218956</c:v>
                </c:pt>
                <c:pt idx="8">
                  <c:v>2.178018</c:v>
                </c:pt>
              </c:numCache>
            </c:numRef>
          </c:yVal>
          <c:smooth val="1"/>
        </c:ser>
        <c:ser>
          <c:idx val="5"/>
          <c:order val="4"/>
          <c:tx>
            <c:v>&gt;2e- products from pc Cu [4]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Cu!$AP$4:$AP$13</c:f>
              <c:numCache>
                <c:formatCode>General</c:formatCode>
                <c:ptCount val="10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  <c:pt idx="9">
                  <c:v>-480.0</c:v>
                </c:pt>
              </c:numCache>
            </c:numRef>
          </c:yVal>
          <c:smooth val="1"/>
        </c:ser>
        <c:ser>
          <c:idx val="13"/>
          <c:order val="5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Cu!$AD$17:$AD$30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0.08568</c:v>
                </c:pt>
                <c:pt idx="7">
                  <c:v>0.1508</c:v>
                </c:pt>
                <c:pt idx="8">
                  <c:v>0.32017</c:v>
                </c:pt>
                <c:pt idx="9">
                  <c:v>0.55573</c:v>
                </c:pt>
                <c:pt idx="10">
                  <c:v>0.6519</c:v>
                </c:pt>
                <c:pt idx="11">
                  <c:v>1.619064</c:v>
                </c:pt>
                <c:pt idx="12">
                  <c:v>2.6076</c:v>
                </c:pt>
                <c:pt idx="13">
                  <c:v>3.2115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Cu!$M$17:$M$22</c:f>
              <c:numCache>
                <c:formatCode>General</c:formatCode>
                <c:ptCount val="6"/>
                <c:pt idx="0">
                  <c:v>0.0464688</c:v>
                </c:pt>
                <c:pt idx="1">
                  <c:v>0.162735</c:v>
                </c:pt>
                <c:pt idx="2">
                  <c:v>0.274188</c:v>
                </c:pt>
                <c:pt idx="3">
                  <c:v>0.4329</c:v>
                </c:pt>
                <c:pt idx="4">
                  <c:v>0.5175</c:v>
                </c:pt>
                <c:pt idx="5">
                  <c:v>0.58176</c:v>
                </c:pt>
              </c:numCache>
            </c:numRef>
          </c:yVal>
          <c:smooth val="1"/>
        </c:ser>
        <c:ser>
          <c:idx val="3"/>
          <c:order val="7"/>
          <c:tx>
            <c:v>C2 products from Cu NPs [5]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Cu!$F$76:$F$77</c:f>
              <c:numCache>
                <c:formatCode>General</c:formatCode>
                <c:ptCount val="2"/>
                <c:pt idx="0">
                  <c:v>-0.11</c:v>
                </c:pt>
                <c:pt idx="1">
                  <c:v>-0.11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4"/>
          <c:order val="8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Cu!$G$76:$G$77</c:f>
              <c:numCache>
                <c:formatCode>General</c:formatCode>
                <c:ptCount val="2"/>
                <c:pt idx="0">
                  <c:v>-0.25</c:v>
                </c:pt>
                <c:pt idx="1">
                  <c:v>-0.25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6"/>
          <c:order val="9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Cu!$H$76:$H$77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7"/>
          <c:order val="1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Cu!$I$76:$I$77</c:f>
              <c:numCache>
                <c:formatCode>General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0"/>
          <c:order val="1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Cu!$J$76:$J$77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1"/>
          <c:order val="1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Cu!$K$76:$K$77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476864"/>
        <c:axId val="732152928"/>
      </c:scatterChart>
      <c:valAx>
        <c:axId val="710476864"/>
        <c:scaling>
          <c:orientation val="minMax"/>
          <c:max val="0.2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152928"/>
        <c:crossesAt val="0.0"/>
        <c:crossBetween val="midCat"/>
        <c:majorUnit val="0.2"/>
      </c:valAx>
      <c:valAx>
        <c:axId val="732152928"/>
        <c:scaling>
          <c:orientation val="minMax"/>
          <c:max val="21.5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866754420937216"/>
              <c:y val="0.37622124364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10476864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16195515656399"/>
          <c:y val="0.196701721448981"/>
          <c:w val="0.371211027713626"/>
          <c:h val="0.294562254232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215780935369"/>
          <c:y val="0.0934169810333735"/>
          <c:w val="0.695794618235739"/>
          <c:h val="0.720693598954135"/>
        </c:manualLayout>
      </c:layout>
      <c:scatterChart>
        <c:scatterStyle val="smoothMarker"/>
        <c:varyColors val="0"/>
        <c:ser>
          <c:idx val="9"/>
          <c:order val="0"/>
          <c:tx>
            <c:v>CO from pc Au [1]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ser>
          <c:idx val="0"/>
          <c:order val="1"/>
          <c:tx>
            <c:v>CO from OD-Au [2]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Cu!$E$46:$E$55</c:f>
              <c:numCache>
                <c:formatCode>General</c:formatCode>
                <c:ptCount val="10"/>
                <c:pt idx="0">
                  <c:v>-0.200126224</c:v>
                </c:pt>
                <c:pt idx="1">
                  <c:v>-0.22830184</c:v>
                </c:pt>
                <c:pt idx="2">
                  <c:v>-0.25188975</c:v>
                </c:pt>
                <c:pt idx="3">
                  <c:v>-0.27659518</c:v>
                </c:pt>
                <c:pt idx="4">
                  <c:v>-0.30135235</c:v>
                </c:pt>
                <c:pt idx="5">
                  <c:v>-0.32618953</c:v>
                </c:pt>
                <c:pt idx="6">
                  <c:v>-0.34868816</c:v>
                </c:pt>
                <c:pt idx="7">
                  <c:v>-0.39960237</c:v>
                </c:pt>
                <c:pt idx="8">
                  <c:v>-0.4518082</c:v>
                </c:pt>
                <c:pt idx="9">
                  <c:v>-0.50040735</c:v>
                </c:pt>
              </c:numCache>
            </c:numRef>
          </c:xVal>
          <c:yVal>
            <c:numRef>
              <c:f>Cu!$H$46:$H$55</c:f>
              <c:numCache>
                <c:formatCode>General</c:formatCode>
                <c:ptCount val="10"/>
                <c:pt idx="0">
                  <c:v>0.000303630277777778</c:v>
                </c:pt>
                <c:pt idx="1">
                  <c:v>0.00143534659722222</c:v>
                </c:pt>
                <c:pt idx="2">
                  <c:v>0.00319092305555555</c:v>
                </c:pt>
                <c:pt idx="3">
                  <c:v>0.00980103097222222</c:v>
                </c:pt>
                <c:pt idx="4">
                  <c:v>0.0237518486111111</c:v>
                </c:pt>
                <c:pt idx="5">
                  <c:v>0.0399070583333333</c:v>
                </c:pt>
                <c:pt idx="6">
                  <c:v>0.0564247833333333</c:v>
                </c:pt>
                <c:pt idx="7">
                  <c:v>0.125684527777778</c:v>
                </c:pt>
                <c:pt idx="8">
                  <c:v>0.174289472222222</c:v>
                </c:pt>
                <c:pt idx="9">
                  <c:v>0.293335555555555</c:v>
                </c:pt>
              </c:numCache>
            </c:numRef>
          </c:yVal>
          <c:smooth val="1"/>
        </c:ser>
        <c:ser>
          <c:idx val="1"/>
          <c:order val="2"/>
          <c:tx>
            <c:v>HCOO- from pc 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Cu!$I$61:$I$65</c:f>
              <c:numCache>
                <c:formatCode>General</c:formatCode>
                <c:ptCount val="5"/>
                <c:pt idx="0">
                  <c:v>-0.798263</c:v>
                </c:pt>
                <c:pt idx="1">
                  <c:v>-0.8496278</c:v>
                </c:pt>
                <c:pt idx="2">
                  <c:v>-0.8995037</c:v>
                </c:pt>
                <c:pt idx="3">
                  <c:v>-0.9501241</c:v>
                </c:pt>
                <c:pt idx="4">
                  <c:v>-0.9985112</c:v>
                </c:pt>
              </c:numCache>
            </c:numRef>
          </c:xVal>
          <c:yVal>
            <c:numRef>
              <c:f>Cu!$K$61:$K$65</c:f>
              <c:numCache>
                <c:formatCode>0.00E+00</c:formatCode>
                <c:ptCount val="5"/>
                <c:pt idx="0">
                  <c:v>0.005009145</c:v>
                </c:pt>
                <c:pt idx="1">
                  <c:v>0.025091533</c:v>
                </c:pt>
                <c:pt idx="2">
                  <c:v>0.06684349</c:v>
                </c:pt>
                <c:pt idx="3">
                  <c:v>0.11029433</c:v>
                </c:pt>
                <c:pt idx="4">
                  <c:v>0.22138779</c:v>
                </c:pt>
              </c:numCache>
            </c:numRef>
          </c:yVal>
          <c:smooth val="1"/>
        </c:ser>
        <c:ser>
          <c:idx val="2"/>
          <c:order val="3"/>
          <c:tx>
            <c:v>HCOO- from OD-Pb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Cu!$E$61:$E$69</c:f>
              <c:numCache>
                <c:formatCode>General</c:formatCode>
                <c:ptCount val="9"/>
                <c:pt idx="0">
                  <c:v>-0.6992556</c:v>
                </c:pt>
                <c:pt idx="1">
                  <c:v>-0.72531015</c:v>
                </c:pt>
                <c:pt idx="2">
                  <c:v>-0.75062037</c:v>
                </c:pt>
                <c:pt idx="3">
                  <c:v>-0.7759305</c:v>
                </c:pt>
                <c:pt idx="4">
                  <c:v>-0.8012407</c:v>
                </c:pt>
                <c:pt idx="5">
                  <c:v>-0.82282877</c:v>
                </c:pt>
                <c:pt idx="6">
                  <c:v>-0.8503722</c:v>
                </c:pt>
                <c:pt idx="7">
                  <c:v>-0.8972705</c:v>
                </c:pt>
                <c:pt idx="8">
                  <c:v>-0.9985112</c:v>
                </c:pt>
              </c:numCache>
            </c:numRef>
          </c:xVal>
          <c:yVal>
            <c:numRef>
              <c:f>Cu!$H$61:$H$69</c:f>
              <c:numCache>
                <c:formatCode>0.00E+00</c:formatCode>
                <c:ptCount val="9"/>
                <c:pt idx="0">
                  <c:v>0.00084321256</c:v>
                </c:pt>
                <c:pt idx="1">
                  <c:v>0.00205894104</c:v>
                </c:pt>
                <c:pt idx="2">
                  <c:v>0.0042237736</c:v>
                </c:pt>
                <c:pt idx="3">
                  <c:v>0.007122804</c:v>
                </c:pt>
                <c:pt idx="4">
                  <c:v>0.0110097208</c:v>
                </c:pt>
                <c:pt idx="5">
                  <c:v>0.0152623108</c:v>
                </c:pt>
                <c:pt idx="6">
                  <c:v>0.021157496</c:v>
                </c:pt>
                <c:pt idx="7">
                  <c:v>0.0380875824</c:v>
                </c:pt>
                <c:pt idx="8">
                  <c:v>0.08712072</c:v>
                </c:pt>
              </c:numCache>
            </c:numRef>
          </c:yVal>
          <c:smooth val="1"/>
        </c:ser>
        <c:ser>
          <c:idx val="5"/>
          <c:order val="4"/>
          <c:tx>
            <c:v>&gt;2e- products from pc Cu [4]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Cu!$AP$4:$AP$13</c:f>
              <c:numCache>
                <c:formatCode>General</c:formatCode>
                <c:ptCount val="10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  <c:pt idx="9">
                  <c:v>-480.0</c:v>
                </c:pt>
              </c:numCache>
            </c:numRef>
          </c:yVal>
          <c:smooth val="1"/>
        </c:ser>
        <c:ser>
          <c:idx val="13"/>
          <c:order val="5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Cu!$Q$23:$Q$30</c:f>
              <c:numCache>
                <c:formatCode>General</c:formatCode>
                <c:ptCount val="8"/>
                <c:pt idx="0">
                  <c:v>-0.5</c:v>
                </c:pt>
                <c:pt idx="1">
                  <c:v>-0.55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Cu!$AE$23:$AE$30</c:f>
              <c:numCache>
                <c:formatCode>General</c:formatCode>
                <c:ptCount val="8"/>
                <c:pt idx="0">
                  <c:v>0.0001785</c:v>
                </c:pt>
                <c:pt idx="1">
                  <c:v>0.000314166666666667</c:v>
                </c:pt>
                <c:pt idx="2">
                  <c:v>0.000667020833333333</c:v>
                </c:pt>
                <c:pt idx="3">
                  <c:v>0.00115777083333333</c:v>
                </c:pt>
                <c:pt idx="4">
                  <c:v>0.001358125</c:v>
                </c:pt>
                <c:pt idx="5">
                  <c:v>0.00337305</c:v>
                </c:pt>
                <c:pt idx="6">
                  <c:v>0.0054325</c:v>
                </c:pt>
                <c:pt idx="7">
                  <c:v>0.006690625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Cu!$N$17:$N$22</c:f>
              <c:numCache>
                <c:formatCode>General</c:formatCode>
                <c:ptCount val="6"/>
                <c:pt idx="0">
                  <c:v>0.000285084662576687</c:v>
                </c:pt>
                <c:pt idx="1">
                  <c:v>0.000998374233128834</c:v>
                </c:pt>
                <c:pt idx="2">
                  <c:v>0.00168213496932515</c:v>
                </c:pt>
                <c:pt idx="3">
                  <c:v>0.0026558282208589</c:v>
                </c:pt>
                <c:pt idx="4">
                  <c:v>0.00317484662576687</c:v>
                </c:pt>
                <c:pt idx="5">
                  <c:v>0.00356907975460123</c:v>
                </c:pt>
              </c:numCache>
            </c:numRef>
          </c:yVal>
          <c:smooth val="1"/>
        </c:ser>
        <c:ser>
          <c:idx val="12"/>
          <c:order val="7"/>
          <c:tx>
            <c:strRef>
              <c:f>Cu!$M$24</c:f>
              <c:strCache>
                <c:ptCount val="1"/>
                <c:pt idx="0">
                  <c:v>C2+ products from Cu NPs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Cu!$E$25:$E$30</c:f>
              <c:numCache>
                <c:formatCode>General</c:formatCode>
                <c:ptCount val="6"/>
                <c:pt idx="0">
                  <c:v>-0.3</c:v>
                </c:pt>
                <c:pt idx="1">
                  <c:v>-0.35</c:v>
                </c:pt>
                <c:pt idx="2">
                  <c:v>-0.4</c:v>
                </c:pt>
                <c:pt idx="3">
                  <c:v>-0.45</c:v>
                </c:pt>
                <c:pt idx="4">
                  <c:v>-0.5</c:v>
                </c:pt>
                <c:pt idx="5">
                  <c:v>-0.6</c:v>
                </c:pt>
              </c:numCache>
            </c:numRef>
          </c:xVal>
          <c:yVal>
            <c:numRef>
              <c:f>Cu!$N$25:$N$30</c:f>
              <c:numCache>
                <c:formatCode>General</c:formatCode>
                <c:ptCount val="6"/>
                <c:pt idx="0">
                  <c:v>5.89E-5</c:v>
                </c:pt>
                <c:pt idx="1">
                  <c:v>0.000177466666666667</c:v>
                </c:pt>
                <c:pt idx="2">
                  <c:v>0.0005738</c:v>
                </c:pt>
                <c:pt idx="3">
                  <c:v>0.0013713</c:v>
                </c:pt>
                <c:pt idx="4">
                  <c:v>0.003575</c:v>
                </c:pt>
                <c:pt idx="5">
                  <c:v>0.00489633333333333</c:v>
                </c:pt>
              </c:numCache>
            </c:numRef>
          </c:yVal>
          <c:smooth val="1"/>
        </c:ser>
        <c:ser>
          <c:idx val="3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Cu!$F$76:$F$77</c:f>
              <c:numCache>
                <c:formatCode>General</c:formatCode>
                <c:ptCount val="2"/>
                <c:pt idx="0">
                  <c:v>-0.11</c:v>
                </c:pt>
                <c:pt idx="1">
                  <c:v>-0.11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4"/>
          <c:order val="9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Cu!$G$76:$G$77</c:f>
              <c:numCache>
                <c:formatCode>General</c:formatCode>
                <c:ptCount val="2"/>
                <c:pt idx="0">
                  <c:v>-0.25</c:v>
                </c:pt>
                <c:pt idx="1">
                  <c:v>-0.25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6"/>
          <c:order val="1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Cu!$H$76:$H$77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7"/>
          <c:order val="1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Cu!$I$76:$I$77</c:f>
              <c:numCache>
                <c:formatCode>General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0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Cu!$J$76:$J$77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1"/>
          <c:order val="13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Cu!$K$76:$K$77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236384"/>
        <c:axId val="732240416"/>
      </c:scatterChart>
      <c:valAx>
        <c:axId val="732236384"/>
        <c:scaling>
          <c:orientation val="minMax"/>
          <c:max val="0.2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layout>
            <c:manualLayout>
              <c:xMode val="edge"/>
              <c:yMode val="edge"/>
              <c:x val="0.431583289511684"/>
              <c:y val="0.9000044030432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240416"/>
        <c:crossesAt val="1.0E-5"/>
        <c:crossBetween val="midCat"/>
        <c:majorUnit val="0.2"/>
      </c:valAx>
      <c:valAx>
        <c:axId val="732240416"/>
        <c:scaling>
          <c:logBase val="10.0"/>
          <c:orientation val="minMax"/>
          <c:max val="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-25000"/>
                  <a:t>real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701078382863655"/>
              <c:y val="0.3534331108025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236384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92719509784253"/>
          <c:y val="0.476288652233261"/>
          <c:w val="0.283626859846177"/>
          <c:h val="0.3278714888259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82530267929"/>
          <c:y val="0.103934628932476"/>
          <c:w val="0.775058309380037"/>
          <c:h val="0.720693598954135"/>
        </c:manualLayout>
      </c:layout>
      <c:scatterChart>
        <c:scatterStyle val="smoothMarker"/>
        <c:varyColors val="0"/>
        <c:ser>
          <c:idx val="9"/>
          <c:order val="0"/>
          <c:tx>
            <c:v>CO from pc Au [1]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ser>
          <c:idx val="0"/>
          <c:order val="1"/>
          <c:tx>
            <c:v>CO from OD-Au [2]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xVal>
            <c:numRef>
              <c:f>Cu!$E$46:$E$55</c:f>
              <c:numCache>
                <c:formatCode>General</c:formatCode>
                <c:ptCount val="10"/>
                <c:pt idx="0">
                  <c:v>-0.200126224</c:v>
                </c:pt>
                <c:pt idx="1">
                  <c:v>-0.22830184</c:v>
                </c:pt>
                <c:pt idx="2">
                  <c:v>-0.25188975</c:v>
                </c:pt>
                <c:pt idx="3">
                  <c:v>-0.27659518</c:v>
                </c:pt>
                <c:pt idx="4">
                  <c:v>-0.30135235</c:v>
                </c:pt>
                <c:pt idx="5">
                  <c:v>-0.32618953</c:v>
                </c:pt>
                <c:pt idx="6">
                  <c:v>-0.34868816</c:v>
                </c:pt>
                <c:pt idx="7">
                  <c:v>-0.39960237</c:v>
                </c:pt>
                <c:pt idx="8">
                  <c:v>-0.4518082</c:v>
                </c:pt>
                <c:pt idx="9">
                  <c:v>-0.50040735</c:v>
                </c:pt>
              </c:numCache>
            </c:numRef>
          </c:xVal>
          <c:yVal>
            <c:numRef>
              <c:f>Cu!$G$46:$G$55</c:f>
              <c:numCache>
                <c:formatCode>General</c:formatCode>
                <c:ptCount val="10"/>
                <c:pt idx="0">
                  <c:v>0.02186138</c:v>
                </c:pt>
                <c:pt idx="1">
                  <c:v>0.103344955</c:v>
                </c:pt>
                <c:pt idx="2">
                  <c:v>0.22974646</c:v>
                </c:pt>
                <c:pt idx="3">
                  <c:v>0.70567423</c:v>
                </c:pt>
                <c:pt idx="4">
                  <c:v>1.7101331</c:v>
                </c:pt>
                <c:pt idx="5">
                  <c:v>2.8733082</c:v>
                </c:pt>
                <c:pt idx="6">
                  <c:v>4.0625844</c:v>
                </c:pt>
                <c:pt idx="7">
                  <c:v>9.049286</c:v>
                </c:pt>
                <c:pt idx="8">
                  <c:v>12.548842</c:v>
                </c:pt>
                <c:pt idx="9">
                  <c:v>21.12016</c:v>
                </c:pt>
              </c:numCache>
            </c:numRef>
          </c:yVal>
          <c:smooth val="1"/>
        </c:ser>
        <c:ser>
          <c:idx val="1"/>
          <c:order val="2"/>
          <c:tx>
            <c:v>HCOO- from pc 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Cu!$I$61:$I$65</c:f>
              <c:numCache>
                <c:formatCode>General</c:formatCode>
                <c:ptCount val="5"/>
                <c:pt idx="0">
                  <c:v>-0.798263</c:v>
                </c:pt>
                <c:pt idx="1">
                  <c:v>-0.8496278</c:v>
                </c:pt>
                <c:pt idx="2">
                  <c:v>-0.8995037</c:v>
                </c:pt>
                <c:pt idx="3">
                  <c:v>-0.9501241</c:v>
                </c:pt>
                <c:pt idx="4">
                  <c:v>-0.9985112</c:v>
                </c:pt>
              </c:numCache>
            </c:numRef>
          </c:xVal>
          <c:yVal>
            <c:numRef>
              <c:f>Cu!$K$61:$K$65</c:f>
              <c:numCache>
                <c:formatCode>0.00E+00</c:formatCode>
                <c:ptCount val="5"/>
                <c:pt idx="0">
                  <c:v>0.005009145</c:v>
                </c:pt>
                <c:pt idx="1">
                  <c:v>0.025091533</c:v>
                </c:pt>
                <c:pt idx="2">
                  <c:v>0.06684349</c:v>
                </c:pt>
                <c:pt idx="3">
                  <c:v>0.11029433</c:v>
                </c:pt>
                <c:pt idx="4">
                  <c:v>0.22138779</c:v>
                </c:pt>
              </c:numCache>
            </c:numRef>
          </c:yVal>
          <c:smooth val="1"/>
        </c:ser>
        <c:ser>
          <c:idx val="2"/>
          <c:order val="3"/>
          <c:tx>
            <c:v>HCOO- from OD-Pb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Cu!$E$61:$E$69</c:f>
              <c:numCache>
                <c:formatCode>General</c:formatCode>
                <c:ptCount val="9"/>
                <c:pt idx="0">
                  <c:v>-0.6992556</c:v>
                </c:pt>
                <c:pt idx="1">
                  <c:v>-0.72531015</c:v>
                </c:pt>
                <c:pt idx="2">
                  <c:v>-0.75062037</c:v>
                </c:pt>
                <c:pt idx="3">
                  <c:v>-0.7759305</c:v>
                </c:pt>
                <c:pt idx="4">
                  <c:v>-0.8012407</c:v>
                </c:pt>
                <c:pt idx="5">
                  <c:v>-0.82282877</c:v>
                </c:pt>
                <c:pt idx="6">
                  <c:v>-0.8503722</c:v>
                </c:pt>
                <c:pt idx="7">
                  <c:v>-0.8972705</c:v>
                </c:pt>
                <c:pt idx="8">
                  <c:v>-0.9985112</c:v>
                </c:pt>
              </c:numCache>
            </c:numRef>
          </c:xVal>
          <c:yVal>
            <c:numRef>
              <c:f>Cu!$G$61:$G$69</c:f>
              <c:numCache>
                <c:formatCode>0.00E+00</c:formatCode>
                <c:ptCount val="9"/>
                <c:pt idx="0">
                  <c:v>0.021080314</c:v>
                </c:pt>
                <c:pt idx="1">
                  <c:v>0.051473526</c:v>
                </c:pt>
                <c:pt idx="2">
                  <c:v>0.10559434</c:v>
                </c:pt>
                <c:pt idx="3">
                  <c:v>0.1780701</c:v>
                </c:pt>
                <c:pt idx="4">
                  <c:v>0.27524302</c:v>
                </c:pt>
                <c:pt idx="5">
                  <c:v>0.38155777</c:v>
                </c:pt>
                <c:pt idx="6">
                  <c:v>0.5289374</c:v>
                </c:pt>
                <c:pt idx="7">
                  <c:v>0.95218956</c:v>
                </c:pt>
                <c:pt idx="8">
                  <c:v>2.178018</c:v>
                </c:pt>
              </c:numCache>
            </c:numRef>
          </c:yVal>
          <c:smooth val="1"/>
        </c:ser>
        <c:ser>
          <c:idx val="5"/>
          <c:order val="4"/>
          <c:tx>
            <c:v>&gt;2e- products from pc Cu [4]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Cu!$AP$4:$AP$13</c:f>
              <c:numCache>
                <c:formatCode>General</c:formatCode>
                <c:ptCount val="10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  <c:pt idx="9">
                  <c:v>-480.0</c:v>
                </c:pt>
              </c:numCache>
            </c:numRef>
          </c:yVal>
          <c:smooth val="1"/>
        </c:ser>
        <c:ser>
          <c:idx val="13"/>
          <c:order val="5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Cu!$AD$17:$AD$30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0.08568</c:v>
                </c:pt>
                <c:pt idx="7">
                  <c:v>0.1508</c:v>
                </c:pt>
                <c:pt idx="8">
                  <c:v>0.32017</c:v>
                </c:pt>
                <c:pt idx="9">
                  <c:v>0.55573</c:v>
                </c:pt>
                <c:pt idx="10">
                  <c:v>0.6519</c:v>
                </c:pt>
                <c:pt idx="11">
                  <c:v>1.619064</c:v>
                </c:pt>
                <c:pt idx="12">
                  <c:v>2.6076</c:v>
                </c:pt>
                <c:pt idx="13">
                  <c:v>3.2115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Cu!$M$17:$M$22</c:f>
              <c:numCache>
                <c:formatCode>General</c:formatCode>
                <c:ptCount val="6"/>
                <c:pt idx="0">
                  <c:v>0.0464688</c:v>
                </c:pt>
                <c:pt idx="1">
                  <c:v>0.162735</c:v>
                </c:pt>
                <c:pt idx="2">
                  <c:v>0.274188</c:v>
                </c:pt>
                <c:pt idx="3">
                  <c:v>0.4329</c:v>
                </c:pt>
                <c:pt idx="4">
                  <c:v>0.5175</c:v>
                </c:pt>
                <c:pt idx="5">
                  <c:v>0.58176</c:v>
                </c:pt>
              </c:numCache>
            </c:numRef>
          </c:yVal>
          <c:smooth val="1"/>
        </c:ser>
        <c:ser>
          <c:idx val="12"/>
          <c:order val="7"/>
          <c:tx>
            <c:strRef>
              <c:f>Cu!$M$24</c:f>
              <c:strCache>
                <c:ptCount val="1"/>
                <c:pt idx="0">
                  <c:v>C2+ products from Cu NPs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Cu!$E$25:$E$30</c:f>
              <c:numCache>
                <c:formatCode>General</c:formatCode>
                <c:ptCount val="6"/>
                <c:pt idx="0">
                  <c:v>-0.3</c:v>
                </c:pt>
                <c:pt idx="1">
                  <c:v>-0.35</c:v>
                </c:pt>
                <c:pt idx="2">
                  <c:v>-0.4</c:v>
                </c:pt>
                <c:pt idx="3">
                  <c:v>-0.45</c:v>
                </c:pt>
                <c:pt idx="4">
                  <c:v>-0.5</c:v>
                </c:pt>
                <c:pt idx="5">
                  <c:v>-0.6</c:v>
                </c:pt>
              </c:numCache>
            </c:numRef>
          </c:xVal>
          <c:yVal>
            <c:numRef>
              <c:f>Cu!$M$25:$M$30</c:f>
              <c:numCache>
                <c:formatCode>General</c:formatCode>
                <c:ptCount val="6"/>
                <c:pt idx="0">
                  <c:v>0.001767</c:v>
                </c:pt>
                <c:pt idx="1">
                  <c:v>0.005324</c:v>
                </c:pt>
                <c:pt idx="2">
                  <c:v>0.017214</c:v>
                </c:pt>
                <c:pt idx="3">
                  <c:v>0.041139</c:v>
                </c:pt>
                <c:pt idx="4">
                  <c:v>0.10725</c:v>
                </c:pt>
                <c:pt idx="5">
                  <c:v>0.14689</c:v>
                </c:pt>
              </c:numCache>
            </c:numRef>
          </c:yVal>
          <c:smooth val="1"/>
        </c:ser>
        <c:ser>
          <c:idx val="3"/>
          <c:order val="8"/>
          <c:tx>
            <c:v>C2 products from Cu NPs [5]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Cu!$F$76:$F$77</c:f>
              <c:numCache>
                <c:formatCode>General</c:formatCode>
                <c:ptCount val="2"/>
                <c:pt idx="0">
                  <c:v>-0.11</c:v>
                </c:pt>
                <c:pt idx="1">
                  <c:v>-0.11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4"/>
          <c:order val="9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Cu!$G$76:$G$77</c:f>
              <c:numCache>
                <c:formatCode>General</c:formatCode>
                <c:ptCount val="2"/>
                <c:pt idx="0">
                  <c:v>-0.25</c:v>
                </c:pt>
                <c:pt idx="1">
                  <c:v>-0.25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6"/>
          <c:order val="1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Cu!$H$76:$H$77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7"/>
          <c:order val="1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Cu!$I$76:$I$77</c:f>
              <c:numCache>
                <c:formatCode>General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0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Cu!$J$76:$J$77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1"/>
          <c:order val="1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Cu!$K$76:$K$77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14048"/>
        <c:axId val="732318080"/>
      </c:scatterChart>
      <c:valAx>
        <c:axId val="732314048"/>
        <c:scaling>
          <c:orientation val="minMax"/>
          <c:max val="0.2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318080"/>
        <c:crossesAt val="0.0"/>
        <c:crossBetween val="midCat"/>
        <c:majorUnit val="0.2"/>
      </c:valAx>
      <c:valAx>
        <c:axId val="732318080"/>
        <c:scaling>
          <c:logBase val="10.0"/>
          <c:orientation val="minMax"/>
          <c:max val="25.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866754420937216"/>
              <c:y val="0.37622124364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314048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24949673886786"/>
          <c:y val="0.510413540236997"/>
          <c:w val="0.398589105755676"/>
          <c:h val="0.31070731863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82530267929"/>
          <c:y val="0.103934628932476"/>
          <c:w val="0.616609469667629"/>
          <c:h val="0.720693598954135"/>
        </c:manualLayout>
      </c:layout>
      <c:scatterChart>
        <c:scatterStyle val="smoothMarker"/>
        <c:varyColors val="0"/>
        <c:ser>
          <c:idx val="9"/>
          <c:order val="0"/>
          <c:tx>
            <c:v>CO from pc Au [1]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ser>
          <c:idx val="0"/>
          <c:order val="1"/>
          <c:tx>
            <c:v>CO from OD-Au [2]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xVal>
            <c:numRef>
              <c:f>Cu!$E$46:$E$55</c:f>
              <c:numCache>
                <c:formatCode>General</c:formatCode>
                <c:ptCount val="10"/>
                <c:pt idx="0">
                  <c:v>-0.200126224</c:v>
                </c:pt>
                <c:pt idx="1">
                  <c:v>-0.22830184</c:v>
                </c:pt>
                <c:pt idx="2">
                  <c:v>-0.25188975</c:v>
                </c:pt>
                <c:pt idx="3">
                  <c:v>-0.27659518</c:v>
                </c:pt>
                <c:pt idx="4">
                  <c:v>-0.30135235</c:v>
                </c:pt>
                <c:pt idx="5">
                  <c:v>-0.32618953</c:v>
                </c:pt>
                <c:pt idx="6">
                  <c:v>-0.34868816</c:v>
                </c:pt>
                <c:pt idx="7">
                  <c:v>-0.39960237</c:v>
                </c:pt>
                <c:pt idx="8">
                  <c:v>-0.4518082</c:v>
                </c:pt>
                <c:pt idx="9">
                  <c:v>-0.50040735</c:v>
                </c:pt>
              </c:numCache>
            </c:numRef>
          </c:xVal>
          <c:yVal>
            <c:numRef>
              <c:f>Cu!$G$46:$G$55</c:f>
              <c:numCache>
                <c:formatCode>General</c:formatCode>
                <c:ptCount val="10"/>
                <c:pt idx="0">
                  <c:v>0.02186138</c:v>
                </c:pt>
                <c:pt idx="1">
                  <c:v>0.103344955</c:v>
                </c:pt>
                <c:pt idx="2">
                  <c:v>0.22974646</c:v>
                </c:pt>
                <c:pt idx="3">
                  <c:v>0.70567423</c:v>
                </c:pt>
                <c:pt idx="4">
                  <c:v>1.7101331</c:v>
                </c:pt>
                <c:pt idx="5">
                  <c:v>2.8733082</c:v>
                </c:pt>
                <c:pt idx="6">
                  <c:v>4.0625844</c:v>
                </c:pt>
                <c:pt idx="7">
                  <c:v>9.049286</c:v>
                </c:pt>
                <c:pt idx="8">
                  <c:v>12.548842</c:v>
                </c:pt>
                <c:pt idx="9">
                  <c:v>21.12016</c:v>
                </c:pt>
              </c:numCache>
            </c:numRef>
          </c:yVal>
          <c:smooth val="1"/>
        </c:ser>
        <c:ser>
          <c:idx val="1"/>
          <c:order val="2"/>
          <c:tx>
            <c:v>HCOO- from pc 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Cu!$I$61:$I$65</c:f>
              <c:numCache>
                <c:formatCode>General</c:formatCode>
                <c:ptCount val="5"/>
                <c:pt idx="0">
                  <c:v>-0.798263</c:v>
                </c:pt>
                <c:pt idx="1">
                  <c:v>-0.8496278</c:v>
                </c:pt>
                <c:pt idx="2">
                  <c:v>-0.8995037</c:v>
                </c:pt>
                <c:pt idx="3">
                  <c:v>-0.9501241</c:v>
                </c:pt>
                <c:pt idx="4">
                  <c:v>-0.9985112</c:v>
                </c:pt>
              </c:numCache>
            </c:numRef>
          </c:xVal>
          <c:yVal>
            <c:numRef>
              <c:f>Cu!$K$61:$K$65</c:f>
              <c:numCache>
                <c:formatCode>0.00E+00</c:formatCode>
                <c:ptCount val="5"/>
                <c:pt idx="0">
                  <c:v>0.005009145</c:v>
                </c:pt>
                <c:pt idx="1">
                  <c:v>0.025091533</c:v>
                </c:pt>
                <c:pt idx="2">
                  <c:v>0.06684349</c:v>
                </c:pt>
                <c:pt idx="3">
                  <c:v>0.11029433</c:v>
                </c:pt>
                <c:pt idx="4">
                  <c:v>0.22138779</c:v>
                </c:pt>
              </c:numCache>
            </c:numRef>
          </c:yVal>
          <c:smooth val="1"/>
        </c:ser>
        <c:ser>
          <c:idx val="2"/>
          <c:order val="3"/>
          <c:tx>
            <c:v>HCOO- from OD-Pb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Cu!$E$61:$E$69</c:f>
              <c:numCache>
                <c:formatCode>General</c:formatCode>
                <c:ptCount val="9"/>
                <c:pt idx="0">
                  <c:v>-0.6992556</c:v>
                </c:pt>
                <c:pt idx="1">
                  <c:v>-0.72531015</c:v>
                </c:pt>
                <c:pt idx="2">
                  <c:v>-0.75062037</c:v>
                </c:pt>
                <c:pt idx="3">
                  <c:v>-0.7759305</c:v>
                </c:pt>
                <c:pt idx="4">
                  <c:v>-0.8012407</c:v>
                </c:pt>
                <c:pt idx="5">
                  <c:v>-0.82282877</c:v>
                </c:pt>
                <c:pt idx="6">
                  <c:v>-0.8503722</c:v>
                </c:pt>
                <c:pt idx="7">
                  <c:v>-0.8972705</c:v>
                </c:pt>
                <c:pt idx="8">
                  <c:v>-0.9985112</c:v>
                </c:pt>
              </c:numCache>
            </c:numRef>
          </c:xVal>
          <c:yVal>
            <c:numRef>
              <c:f>Cu!$G$61:$G$69</c:f>
              <c:numCache>
                <c:formatCode>0.00E+00</c:formatCode>
                <c:ptCount val="9"/>
                <c:pt idx="0">
                  <c:v>0.021080314</c:v>
                </c:pt>
                <c:pt idx="1">
                  <c:v>0.051473526</c:v>
                </c:pt>
                <c:pt idx="2">
                  <c:v>0.10559434</c:v>
                </c:pt>
                <c:pt idx="3">
                  <c:v>0.1780701</c:v>
                </c:pt>
                <c:pt idx="4">
                  <c:v>0.27524302</c:v>
                </c:pt>
                <c:pt idx="5">
                  <c:v>0.38155777</c:v>
                </c:pt>
                <c:pt idx="6">
                  <c:v>0.5289374</c:v>
                </c:pt>
                <c:pt idx="7">
                  <c:v>0.95218956</c:v>
                </c:pt>
                <c:pt idx="8">
                  <c:v>2.178018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Cu!$AP$2</c:f>
              <c:strCache>
                <c:ptCount val="1"/>
                <c:pt idx="0">
                  <c:v>&gt;2e- products from pc Cu [4]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Cu!$AP$4:$AP$12</c:f>
              <c:numCache>
                <c:formatCode>General</c:formatCode>
                <c:ptCount val="9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</c:numCache>
            </c:numRef>
          </c:yVal>
          <c:smooth val="1"/>
        </c:ser>
        <c:ser>
          <c:idx val="13"/>
          <c:order val="5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Cu!$Q$23:$Q$30</c:f>
              <c:numCache>
                <c:formatCode>General</c:formatCode>
                <c:ptCount val="8"/>
                <c:pt idx="0">
                  <c:v>-0.5</c:v>
                </c:pt>
                <c:pt idx="1">
                  <c:v>-0.55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Cu!$AD$23:$AD$30</c:f>
              <c:numCache>
                <c:formatCode>General</c:formatCode>
                <c:ptCount val="8"/>
                <c:pt idx="0">
                  <c:v>0.08568</c:v>
                </c:pt>
                <c:pt idx="1">
                  <c:v>0.1508</c:v>
                </c:pt>
                <c:pt idx="2">
                  <c:v>0.32017</c:v>
                </c:pt>
                <c:pt idx="3">
                  <c:v>0.55573</c:v>
                </c:pt>
                <c:pt idx="4">
                  <c:v>0.6519</c:v>
                </c:pt>
                <c:pt idx="5">
                  <c:v>1.619064</c:v>
                </c:pt>
                <c:pt idx="6">
                  <c:v>2.6076</c:v>
                </c:pt>
                <c:pt idx="7">
                  <c:v>3.2115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Cu!$M$17:$M$22</c:f>
              <c:numCache>
                <c:formatCode>General</c:formatCode>
                <c:ptCount val="6"/>
                <c:pt idx="0">
                  <c:v>0.0464688</c:v>
                </c:pt>
                <c:pt idx="1">
                  <c:v>0.162735</c:v>
                </c:pt>
                <c:pt idx="2">
                  <c:v>0.274188</c:v>
                </c:pt>
                <c:pt idx="3">
                  <c:v>0.4329</c:v>
                </c:pt>
                <c:pt idx="4">
                  <c:v>0.5175</c:v>
                </c:pt>
                <c:pt idx="5">
                  <c:v>0.58176</c:v>
                </c:pt>
              </c:numCache>
            </c:numRef>
          </c:yVal>
          <c:smooth val="1"/>
        </c:ser>
        <c:ser>
          <c:idx val="3"/>
          <c:order val="7"/>
          <c:tx>
            <c:v>C2 products from Cu NPs [5]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Cu!$F$76:$F$77</c:f>
              <c:numCache>
                <c:formatCode>General</c:formatCode>
                <c:ptCount val="2"/>
                <c:pt idx="0">
                  <c:v>-0.11</c:v>
                </c:pt>
                <c:pt idx="1">
                  <c:v>-0.11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4"/>
          <c:order val="8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Cu!$G$76:$G$77</c:f>
              <c:numCache>
                <c:formatCode>General</c:formatCode>
                <c:ptCount val="2"/>
                <c:pt idx="0">
                  <c:v>-0.25</c:v>
                </c:pt>
                <c:pt idx="1">
                  <c:v>-0.25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6"/>
          <c:order val="9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Cu!$H$76:$H$77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7"/>
          <c:order val="1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Cu!$I$76:$I$77</c:f>
              <c:numCache>
                <c:formatCode>General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0"/>
          <c:order val="1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Cu!$J$76:$J$77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1"/>
          <c:order val="1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Cu!$K$76:$K$77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88816"/>
        <c:axId val="732392848"/>
      </c:scatterChart>
      <c:valAx>
        <c:axId val="732388816"/>
        <c:scaling>
          <c:orientation val="minMax"/>
          <c:max val="0.2"/>
          <c:min val="-1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392848"/>
        <c:crossesAt val="0.0"/>
        <c:crossBetween val="midCat"/>
        <c:majorUnit val="0.2"/>
      </c:valAx>
      <c:valAx>
        <c:axId val="732392848"/>
        <c:scaling>
          <c:logBase val="10.0"/>
          <c:orientation val="minMax"/>
          <c:max val="25.0"/>
          <c:min val="0.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866754420937216"/>
              <c:y val="0.37622124364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388816"/>
        <c:crossesAt val="-1.4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144391244618742"/>
          <c:y val="0.512138310849296"/>
          <c:w val="0.354845558917603"/>
          <c:h val="0.31070731863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0582530267929"/>
          <c:y val="0.103934628932476"/>
          <c:w val="0.695794618235739"/>
          <c:h val="0.720693598954135"/>
        </c:manualLayout>
      </c:layout>
      <c:scatterChart>
        <c:scatterStyle val="smoothMarker"/>
        <c:varyColors val="0"/>
        <c:ser>
          <c:idx val="9"/>
          <c:order val="0"/>
          <c:tx>
            <c:v>CO from pc Au [1]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Au!$I$5:$I$12</c:f>
              <c:numCache>
                <c:formatCode>0.00</c:formatCode>
                <c:ptCount val="8"/>
                <c:pt idx="0">
                  <c:v>-0.396687666666667</c:v>
                </c:pt>
                <c:pt idx="1">
                  <c:v>-0.5427075</c:v>
                </c:pt>
                <c:pt idx="2">
                  <c:v>-0.676333333333333</c:v>
                </c:pt>
                <c:pt idx="3">
                  <c:v>-0.822333333333333</c:v>
                </c:pt>
                <c:pt idx="4">
                  <c:v>-0.96425</c:v>
                </c:pt>
                <c:pt idx="5">
                  <c:v>-1.003</c:v>
                </c:pt>
                <c:pt idx="6">
                  <c:v>-1.06733333333333</c:v>
                </c:pt>
                <c:pt idx="7">
                  <c:v>-1.12725</c:v>
                </c:pt>
              </c:numCache>
            </c:numRef>
          </c:xVal>
          <c:yVal>
            <c:numRef>
              <c:f>Au!$X$5:$X$12</c:f>
              <c:numCache>
                <c:formatCode>General</c:formatCode>
                <c:ptCount val="8"/>
                <c:pt idx="0">
                  <c:v>0.304379066666666</c:v>
                </c:pt>
                <c:pt idx="1">
                  <c:v>1.524665625</c:v>
                </c:pt>
                <c:pt idx="2">
                  <c:v>3.291872666666664</c:v>
                </c:pt>
                <c:pt idx="3">
                  <c:v>3.467079333333336</c:v>
                </c:pt>
                <c:pt idx="4">
                  <c:v>3.84825375</c:v>
                </c:pt>
                <c:pt idx="5">
                  <c:v>4.332597499999999</c:v>
                </c:pt>
                <c:pt idx="6">
                  <c:v>3.991719333333334</c:v>
                </c:pt>
                <c:pt idx="7">
                  <c:v>3.2515025</c:v>
                </c:pt>
              </c:numCache>
            </c:numRef>
          </c:yVal>
          <c:smooth val="1"/>
        </c:ser>
        <c:ser>
          <c:idx val="0"/>
          <c:order val="1"/>
          <c:tx>
            <c:v>CO from OD-Au [2]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dPt>
            <c:idx val="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</c:dPt>
          <c:xVal>
            <c:numRef>
              <c:f>Cu!$E$46:$E$55</c:f>
              <c:numCache>
                <c:formatCode>General</c:formatCode>
                <c:ptCount val="10"/>
                <c:pt idx="0">
                  <c:v>-0.200126224</c:v>
                </c:pt>
                <c:pt idx="1">
                  <c:v>-0.22830184</c:v>
                </c:pt>
                <c:pt idx="2">
                  <c:v>-0.25188975</c:v>
                </c:pt>
                <c:pt idx="3">
                  <c:v>-0.27659518</c:v>
                </c:pt>
                <c:pt idx="4">
                  <c:v>-0.30135235</c:v>
                </c:pt>
                <c:pt idx="5">
                  <c:v>-0.32618953</c:v>
                </c:pt>
                <c:pt idx="6">
                  <c:v>-0.34868816</c:v>
                </c:pt>
                <c:pt idx="7">
                  <c:v>-0.39960237</c:v>
                </c:pt>
                <c:pt idx="8">
                  <c:v>-0.4518082</c:v>
                </c:pt>
                <c:pt idx="9">
                  <c:v>-0.50040735</c:v>
                </c:pt>
              </c:numCache>
            </c:numRef>
          </c:xVal>
          <c:yVal>
            <c:numRef>
              <c:f>Cu!$G$46:$G$55</c:f>
              <c:numCache>
                <c:formatCode>General</c:formatCode>
                <c:ptCount val="10"/>
                <c:pt idx="0">
                  <c:v>0.02186138</c:v>
                </c:pt>
                <c:pt idx="1">
                  <c:v>0.103344955</c:v>
                </c:pt>
                <c:pt idx="2">
                  <c:v>0.22974646</c:v>
                </c:pt>
                <c:pt idx="3">
                  <c:v>0.70567423</c:v>
                </c:pt>
                <c:pt idx="4">
                  <c:v>1.7101331</c:v>
                </c:pt>
                <c:pt idx="5">
                  <c:v>2.8733082</c:v>
                </c:pt>
                <c:pt idx="6">
                  <c:v>4.0625844</c:v>
                </c:pt>
                <c:pt idx="7">
                  <c:v>9.049286</c:v>
                </c:pt>
                <c:pt idx="8">
                  <c:v>12.548842</c:v>
                </c:pt>
                <c:pt idx="9">
                  <c:v>21.12016</c:v>
                </c:pt>
              </c:numCache>
            </c:numRef>
          </c:yVal>
          <c:smooth val="1"/>
        </c:ser>
        <c:ser>
          <c:idx val="1"/>
          <c:order val="2"/>
          <c:tx>
            <c:v>HCOO- from pc 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Cu!$I$61:$I$65</c:f>
              <c:numCache>
                <c:formatCode>General</c:formatCode>
                <c:ptCount val="5"/>
                <c:pt idx="0">
                  <c:v>-0.798263</c:v>
                </c:pt>
                <c:pt idx="1">
                  <c:v>-0.8496278</c:v>
                </c:pt>
                <c:pt idx="2">
                  <c:v>-0.8995037</c:v>
                </c:pt>
                <c:pt idx="3">
                  <c:v>-0.9501241</c:v>
                </c:pt>
                <c:pt idx="4">
                  <c:v>-0.9985112</c:v>
                </c:pt>
              </c:numCache>
            </c:numRef>
          </c:xVal>
          <c:yVal>
            <c:numRef>
              <c:f>Cu!$K$61:$K$65</c:f>
              <c:numCache>
                <c:formatCode>0.00E+00</c:formatCode>
                <c:ptCount val="5"/>
                <c:pt idx="0">
                  <c:v>0.005009145</c:v>
                </c:pt>
                <c:pt idx="1">
                  <c:v>0.025091533</c:v>
                </c:pt>
                <c:pt idx="2">
                  <c:v>0.06684349</c:v>
                </c:pt>
                <c:pt idx="3">
                  <c:v>0.11029433</c:v>
                </c:pt>
                <c:pt idx="4">
                  <c:v>0.22138779</c:v>
                </c:pt>
              </c:numCache>
            </c:numRef>
          </c:yVal>
          <c:smooth val="1"/>
        </c:ser>
        <c:ser>
          <c:idx val="2"/>
          <c:order val="3"/>
          <c:tx>
            <c:v>HCOO- from OD-Pb [3]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Cu!$E$61:$E$69</c:f>
              <c:numCache>
                <c:formatCode>General</c:formatCode>
                <c:ptCount val="9"/>
                <c:pt idx="0">
                  <c:v>-0.6992556</c:v>
                </c:pt>
                <c:pt idx="1">
                  <c:v>-0.72531015</c:v>
                </c:pt>
                <c:pt idx="2">
                  <c:v>-0.75062037</c:v>
                </c:pt>
                <c:pt idx="3">
                  <c:v>-0.7759305</c:v>
                </c:pt>
                <c:pt idx="4">
                  <c:v>-0.8012407</c:v>
                </c:pt>
                <c:pt idx="5">
                  <c:v>-0.82282877</c:v>
                </c:pt>
                <c:pt idx="6">
                  <c:v>-0.8503722</c:v>
                </c:pt>
                <c:pt idx="7">
                  <c:v>-0.8972705</c:v>
                </c:pt>
                <c:pt idx="8">
                  <c:v>-0.9985112</c:v>
                </c:pt>
              </c:numCache>
            </c:numRef>
          </c:xVal>
          <c:yVal>
            <c:numRef>
              <c:f>Cu!$G$61:$G$69</c:f>
              <c:numCache>
                <c:formatCode>0.00E+00</c:formatCode>
                <c:ptCount val="9"/>
                <c:pt idx="0">
                  <c:v>0.021080314</c:v>
                </c:pt>
                <c:pt idx="1">
                  <c:v>0.051473526</c:v>
                </c:pt>
                <c:pt idx="2">
                  <c:v>0.10559434</c:v>
                </c:pt>
                <c:pt idx="3">
                  <c:v>0.1780701</c:v>
                </c:pt>
                <c:pt idx="4">
                  <c:v>0.27524302</c:v>
                </c:pt>
                <c:pt idx="5">
                  <c:v>0.38155777</c:v>
                </c:pt>
                <c:pt idx="6">
                  <c:v>0.5289374</c:v>
                </c:pt>
                <c:pt idx="7">
                  <c:v>0.95218956</c:v>
                </c:pt>
                <c:pt idx="8">
                  <c:v>2.178018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Cu!$AP$2</c:f>
              <c:strCache>
                <c:ptCount val="1"/>
                <c:pt idx="0">
                  <c:v>&gt;2e- products from pc Cu [4]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Cu!$AP$4:$AP$13</c:f>
              <c:numCache>
                <c:formatCode>General</c:formatCode>
                <c:ptCount val="10"/>
                <c:pt idx="0">
                  <c:v>9.04655809302</c:v>
                </c:pt>
                <c:pt idx="1">
                  <c:v>7.70943086034435</c:v>
                </c:pt>
                <c:pt idx="2">
                  <c:v>5.8882578232935</c:v>
                </c:pt>
                <c:pt idx="3">
                  <c:v>3.840533779909751</c:v>
                </c:pt>
                <c:pt idx="4">
                  <c:v>1.70249210121771</c:v>
                </c:pt>
                <c:pt idx="5">
                  <c:v>0.37109995265625</c:v>
                </c:pt>
                <c:pt idx="6">
                  <c:v>0.053756976</c:v>
                </c:pt>
                <c:pt idx="7">
                  <c:v>0.0170077402</c:v>
                </c:pt>
                <c:pt idx="8">
                  <c:v>0.00275737338582</c:v>
                </c:pt>
                <c:pt idx="9">
                  <c:v>-480.0</c:v>
                </c:pt>
              </c:numCache>
            </c:numRef>
          </c:yVal>
          <c:smooth val="1"/>
        </c:ser>
        <c:ser>
          <c:idx val="13"/>
          <c:order val="5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Cu!$AD$17:$AD$30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0.08568</c:v>
                </c:pt>
                <c:pt idx="7">
                  <c:v>0.1508</c:v>
                </c:pt>
                <c:pt idx="8">
                  <c:v>0.32017</c:v>
                </c:pt>
                <c:pt idx="9">
                  <c:v>0.55573</c:v>
                </c:pt>
                <c:pt idx="10">
                  <c:v>0.6519</c:v>
                </c:pt>
                <c:pt idx="11">
                  <c:v>1.619064</c:v>
                </c:pt>
                <c:pt idx="12">
                  <c:v>2.6076</c:v>
                </c:pt>
                <c:pt idx="13">
                  <c:v>3.2115</c:v>
                </c:pt>
              </c:numCache>
            </c:numRef>
          </c:yVal>
          <c:smooth val="1"/>
        </c:ser>
        <c:ser>
          <c:idx val="8"/>
          <c:order val="6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Cu!$M$17:$M$22</c:f>
              <c:numCache>
                <c:formatCode>General</c:formatCode>
                <c:ptCount val="6"/>
                <c:pt idx="0">
                  <c:v>0.0464688</c:v>
                </c:pt>
                <c:pt idx="1">
                  <c:v>0.162735</c:v>
                </c:pt>
                <c:pt idx="2">
                  <c:v>0.274188</c:v>
                </c:pt>
                <c:pt idx="3">
                  <c:v>0.4329</c:v>
                </c:pt>
                <c:pt idx="4">
                  <c:v>0.5175</c:v>
                </c:pt>
                <c:pt idx="5">
                  <c:v>0.58176</c:v>
                </c:pt>
              </c:numCache>
            </c:numRef>
          </c:yVal>
          <c:smooth val="1"/>
        </c:ser>
        <c:ser>
          <c:idx val="12"/>
          <c:order val="7"/>
          <c:tx>
            <c:strRef>
              <c:f>Cu!$M$24</c:f>
              <c:strCache>
                <c:ptCount val="1"/>
                <c:pt idx="0">
                  <c:v>C2+ products from Cu NPs (COR)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square"/>
            <c:size val="9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Cu!$E$25:$E$30</c:f>
              <c:numCache>
                <c:formatCode>General</c:formatCode>
                <c:ptCount val="6"/>
                <c:pt idx="0">
                  <c:v>-0.3</c:v>
                </c:pt>
                <c:pt idx="1">
                  <c:v>-0.35</c:v>
                </c:pt>
                <c:pt idx="2">
                  <c:v>-0.4</c:v>
                </c:pt>
                <c:pt idx="3">
                  <c:v>-0.45</c:v>
                </c:pt>
                <c:pt idx="4">
                  <c:v>-0.5</c:v>
                </c:pt>
                <c:pt idx="5">
                  <c:v>-0.6</c:v>
                </c:pt>
              </c:numCache>
            </c:numRef>
          </c:xVal>
          <c:yVal>
            <c:numRef>
              <c:f>Cu!$M$25:$M$30</c:f>
              <c:numCache>
                <c:formatCode>General</c:formatCode>
                <c:ptCount val="6"/>
                <c:pt idx="0">
                  <c:v>0.001767</c:v>
                </c:pt>
                <c:pt idx="1">
                  <c:v>0.005324</c:v>
                </c:pt>
                <c:pt idx="2">
                  <c:v>0.017214</c:v>
                </c:pt>
                <c:pt idx="3">
                  <c:v>0.041139</c:v>
                </c:pt>
                <c:pt idx="4">
                  <c:v>0.10725</c:v>
                </c:pt>
                <c:pt idx="5">
                  <c:v>0.14689</c:v>
                </c:pt>
              </c:numCache>
            </c:numRef>
          </c:yVal>
          <c:smooth val="1"/>
        </c:ser>
        <c:ser>
          <c:idx val="3"/>
          <c:order val="8"/>
          <c:tx>
            <c:v>C2 products from Cu NPs [5]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Cu!$F$76:$F$77</c:f>
              <c:numCache>
                <c:formatCode>General</c:formatCode>
                <c:ptCount val="2"/>
                <c:pt idx="0">
                  <c:v>-0.11</c:v>
                </c:pt>
                <c:pt idx="1">
                  <c:v>-0.11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4"/>
          <c:order val="9"/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Cu!$G$76:$G$77</c:f>
              <c:numCache>
                <c:formatCode>General</c:formatCode>
                <c:ptCount val="2"/>
                <c:pt idx="0">
                  <c:v>-0.25</c:v>
                </c:pt>
                <c:pt idx="1">
                  <c:v>-0.25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6"/>
          <c:order val="10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Cu!$H$76:$H$77</c:f>
              <c:numCache>
                <c:formatCode>General</c:formatCode>
                <c:ptCount val="2"/>
                <c:pt idx="0">
                  <c:v>0.02</c:v>
                </c:pt>
                <c:pt idx="1">
                  <c:v>0.02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7"/>
          <c:order val="11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Cu!$I$76:$I$77</c:f>
              <c:numCache>
                <c:formatCode>General</c:formatCode>
                <c:ptCount val="2"/>
                <c:pt idx="0">
                  <c:v>0.17</c:v>
                </c:pt>
                <c:pt idx="1">
                  <c:v>0.17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0"/>
          <c:order val="12"/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Cu!$J$76:$J$77</c:f>
              <c:numCache>
                <c:formatCode>General</c:formatCode>
                <c:ptCount val="2"/>
                <c:pt idx="0">
                  <c:v>0.08</c:v>
                </c:pt>
                <c:pt idx="1">
                  <c:v>0.08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ser>
          <c:idx val="11"/>
          <c:order val="1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Cu!$K$76:$K$77</c:f>
              <c:numCache>
                <c:formatCode>General</c:formatCode>
                <c:ptCount val="2"/>
                <c:pt idx="0">
                  <c:v>0.06</c:v>
                </c:pt>
                <c:pt idx="1">
                  <c:v>0.06</c:v>
                </c:pt>
              </c:numCache>
            </c:numRef>
          </c:xVal>
          <c:yVal>
            <c:numRef>
              <c:f>Cu!$E$76:$E$77</c:f>
              <c:numCache>
                <c:formatCode>General</c:formatCode>
                <c:ptCount val="2"/>
                <c:pt idx="0">
                  <c:v>1.0E-5</c:v>
                </c:pt>
                <c:pt idx="1">
                  <c:v>25.0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73424"/>
        <c:axId val="732477456"/>
      </c:scatterChart>
      <c:valAx>
        <c:axId val="732473424"/>
        <c:scaling>
          <c:orientation val="minMax"/>
          <c:max val="0.2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477456"/>
        <c:crossesAt val="0.0"/>
        <c:crossBetween val="midCat"/>
        <c:majorUnit val="0.2"/>
      </c:valAx>
      <c:valAx>
        <c:axId val="732477456"/>
        <c:scaling>
          <c:orientation val="minMax"/>
          <c:max val="25.0"/>
          <c:min val="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866754420937216"/>
              <c:y val="0.376221243640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473424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FF000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70C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rgbClr val="00B050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ayout>
        <c:manualLayout>
          <c:xMode val="edge"/>
          <c:yMode val="edge"/>
          <c:x val="0.10719900047989"/>
          <c:y val="0.112499285045938"/>
          <c:w val="0.523575983773732"/>
          <c:h val="0.3107073186307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41387194187"/>
          <c:y val="0.103396135880009"/>
          <c:w val="0.504879892436515"/>
          <c:h val="0.720693598954135"/>
        </c:manualLayout>
      </c:layout>
      <c:scatterChart>
        <c:scatterStyle val="lineMarker"/>
        <c:varyColors val="0"/>
        <c:ser>
          <c:idx val="9"/>
          <c:order val="0"/>
          <c:tx>
            <c:strRef>
              <c:f>Cu!$AM$2</c:f>
              <c:strCache>
                <c:ptCount val="1"/>
                <c:pt idx="0">
                  <c:v>CO from pc Cu [Jaramillo]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Cu!$AM$4:$AM$12</c:f>
              <c:numCache>
                <c:formatCode>General</c:formatCode>
                <c:ptCount val="9"/>
                <c:pt idx="0">
                  <c:v>0.050286</c:v>
                </c:pt>
                <c:pt idx="1">
                  <c:v>0.0530362215</c:v>
                </c:pt>
                <c:pt idx="2">
                  <c:v>0.058212905</c:v>
                </c:pt>
                <c:pt idx="3">
                  <c:v>0.0634116175</c:v>
                </c:pt>
                <c:pt idx="4">
                  <c:v>0.1437937919</c:v>
                </c:pt>
                <c:pt idx="5">
                  <c:v>0.12627</c:v>
                </c:pt>
                <c:pt idx="6">
                  <c:v>0.107513952</c:v>
                </c:pt>
                <c:pt idx="7">
                  <c:v>0.0655252796</c:v>
                </c:pt>
                <c:pt idx="8">
                  <c:v>0.063338487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Cu!$AC$15</c:f>
              <c:strCache>
                <c:ptCount val="1"/>
                <c:pt idx="0">
                  <c:v>CO from OD-Cu [Kanan]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Cu!$AC$17:$AC$30</c:f>
              <c:numCache>
                <c:formatCode>General</c:formatCode>
                <c:ptCount val="14"/>
                <c:pt idx="0">
                  <c:v>4.010625E-5</c:v>
                </c:pt>
                <c:pt idx="1">
                  <c:v>9.30416666666667E-5</c:v>
                </c:pt>
                <c:pt idx="2">
                  <c:v>0.00031685625</c:v>
                </c:pt>
                <c:pt idx="3">
                  <c:v>0.000625585416666666</c:v>
                </c:pt>
                <c:pt idx="4">
                  <c:v>0.000802083333333333</c:v>
                </c:pt>
                <c:pt idx="5">
                  <c:v>0.0012765</c:v>
                </c:pt>
                <c:pt idx="6">
                  <c:v>0.001225</c:v>
                </c:pt>
                <c:pt idx="7">
                  <c:v>0.00163041666666667</c:v>
                </c:pt>
                <c:pt idx="8">
                  <c:v>0.00183595833333333</c:v>
                </c:pt>
                <c:pt idx="9">
                  <c:v>0.0020139375</c:v>
                </c:pt>
                <c:pt idx="10">
                  <c:v>0.0019603125</c:v>
                </c:pt>
                <c:pt idx="11">
                  <c:v>0.002034</c:v>
                </c:pt>
                <c:pt idx="12">
                  <c:v>0.001973125</c:v>
                </c:pt>
                <c:pt idx="13">
                  <c:v>0.002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Cu!$AN$2</c:f>
              <c:strCache>
                <c:ptCount val="1"/>
                <c:pt idx="0">
                  <c:v>HCOOH from pc Cu [Jaramillo]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Cu!$AN$4:$AN$12</c:f>
              <c:numCache>
                <c:formatCode>General</c:formatCode>
                <c:ptCount val="9"/>
                <c:pt idx="0">
                  <c:v>0.0802842</c:v>
                </c:pt>
                <c:pt idx="1">
                  <c:v>0.0993357405</c:v>
                </c:pt>
                <c:pt idx="2">
                  <c:v>0.130725335</c:v>
                </c:pt>
                <c:pt idx="3">
                  <c:v>0.1209725825</c:v>
                </c:pt>
                <c:pt idx="4">
                  <c:v>0.3827845648</c:v>
                </c:pt>
                <c:pt idx="5">
                  <c:v>0.331191875</c:v>
                </c:pt>
                <c:pt idx="6">
                  <c:v>0.302764507</c:v>
                </c:pt>
                <c:pt idx="7">
                  <c:v>0.1948338755</c:v>
                </c:pt>
                <c:pt idx="8">
                  <c:v>0.1061458062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Cu!$AB$15</c:f>
              <c:strCache>
                <c:ptCount val="1"/>
                <c:pt idx="0">
                  <c:v>HCOO from OD-Cu [Kanan]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Cu!$Q$17:$Q$30</c:f>
              <c:numCache>
                <c:formatCode>General</c:formatCode>
                <c:ptCount val="14"/>
                <c:pt idx="0">
                  <c:v>-0.2</c:v>
                </c:pt>
                <c:pt idx="1">
                  <c:v>-0.25</c:v>
                </c:pt>
                <c:pt idx="2">
                  <c:v>-0.3</c:v>
                </c:pt>
                <c:pt idx="3">
                  <c:v>-0.35</c:v>
                </c:pt>
                <c:pt idx="4">
                  <c:v>-0.4</c:v>
                </c:pt>
                <c:pt idx="5">
                  <c:v>-0.45</c:v>
                </c:pt>
                <c:pt idx="6">
                  <c:v>-0.5</c:v>
                </c:pt>
                <c:pt idx="7">
                  <c:v>-0.55</c:v>
                </c:pt>
                <c:pt idx="8">
                  <c:v>-0.6</c:v>
                </c:pt>
                <c:pt idx="9">
                  <c:v>-0.65</c:v>
                </c:pt>
                <c:pt idx="10">
                  <c:v>-0.7</c:v>
                </c:pt>
                <c:pt idx="11">
                  <c:v>-0.75</c:v>
                </c:pt>
                <c:pt idx="12">
                  <c:v>-0.8</c:v>
                </c:pt>
                <c:pt idx="13">
                  <c:v>-0.85</c:v>
                </c:pt>
              </c:numCache>
            </c:numRef>
          </c:xVal>
          <c:yVal>
            <c:numRef>
              <c:f>Cu!$AB$17:$AB$30</c:f>
              <c:numCache>
                <c:formatCode>General</c:formatCode>
                <c:ptCount val="14"/>
                <c:pt idx="0">
                  <c:v>4.2625E-6</c:v>
                </c:pt>
                <c:pt idx="1">
                  <c:v>9.625E-6</c:v>
                </c:pt>
                <c:pt idx="2">
                  <c:v>4.434375E-5</c:v>
                </c:pt>
                <c:pt idx="3">
                  <c:v>0.000147354166666667</c:v>
                </c:pt>
                <c:pt idx="4">
                  <c:v>0.000225</c:v>
                </c:pt>
                <c:pt idx="5">
                  <c:v>0.000912666666666666</c:v>
                </c:pt>
                <c:pt idx="6">
                  <c:v>0.0011515</c:v>
                </c:pt>
                <c:pt idx="7">
                  <c:v>0.00210166666666667</c:v>
                </c:pt>
                <c:pt idx="8">
                  <c:v>0.00214635416666667</c:v>
                </c:pt>
                <c:pt idx="9">
                  <c:v>0.00310360416666667</c:v>
                </c:pt>
                <c:pt idx="10">
                  <c:v>0.0041128125</c:v>
                </c:pt>
                <c:pt idx="11">
                  <c:v>0.00455766666666667</c:v>
                </c:pt>
                <c:pt idx="12">
                  <c:v>0.0056375</c:v>
                </c:pt>
                <c:pt idx="13">
                  <c:v>0.0031875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Cu!$AO$2</c:f>
              <c:strCache>
                <c:ptCount val="1"/>
                <c:pt idx="0">
                  <c:v>C1's from pc Cu [Jaramillo]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C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Cu!$AO$4:$AO$13</c:f>
              <c:numCache>
                <c:formatCode>General</c:formatCode>
                <c:ptCount val="10"/>
                <c:pt idx="0">
                  <c:v>7.112918719500001</c:v>
                </c:pt>
                <c:pt idx="1">
                  <c:v>4.9041969345</c:v>
                </c:pt>
                <c:pt idx="2">
                  <c:v>2.7355034777105</c:v>
                </c:pt>
                <c:pt idx="3">
                  <c:v>1.44365275348525</c:v>
                </c:pt>
                <c:pt idx="4">
                  <c:v>0.62234425197252</c:v>
                </c:pt>
                <c:pt idx="5">
                  <c:v>0.05955125</c:v>
                </c:pt>
                <c:pt idx="6">
                  <c:v>0.009033338</c:v>
                </c:pt>
                <c:pt idx="7">
                  <c:v>0.0011927729</c:v>
                </c:pt>
                <c:pt idx="8">
                  <c:v>0.00037734828582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Cu!$AQ$2</c:f>
              <c:strCache>
                <c:ptCount val="1"/>
                <c:pt idx="0">
                  <c:v>C2+ from pc Cu [Jaramillo]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Cu!$A$4:$A$13</c:f>
              <c:numCache>
                <c:formatCode>General</c:formatCode>
                <c:ptCount val="10"/>
                <c:pt idx="0">
                  <c:v>-1.16953</c:v>
                </c:pt>
                <c:pt idx="1">
                  <c:v>-1.13811</c:v>
                </c:pt>
                <c:pt idx="2">
                  <c:v>-1.09361</c:v>
                </c:pt>
                <c:pt idx="3">
                  <c:v>-1.05439</c:v>
                </c:pt>
                <c:pt idx="4">
                  <c:v>-1.01297</c:v>
                </c:pt>
                <c:pt idx="5">
                  <c:v>-0.95526</c:v>
                </c:pt>
                <c:pt idx="6">
                  <c:v>-0.88722</c:v>
                </c:pt>
                <c:pt idx="7">
                  <c:v>-0.81724</c:v>
                </c:pt>
                <c:pt idx="8">
                  <c:v>-0.74561</c:v>
                </c:pt>
                <c:pt idx="9">
                  <c:v>-0.67218</c:v>
                </c:pt>
              </c:numCache>
            </c:numRef>
          </c:xVal>
          <c:yVal>
            <c:numRef>
              <c:f>Cu!$AQ$4:$AQ$12</c:f>
              <c:numCache>
                <c:formatCode>General</c:formatCode>
                <c:ptCount val="9"/>
                <c:pt idx="0">
                  <c:v>1.93363937352</c:v>
                </c:pt>
                <c:pt idx="1">
                  <c:v>2.80523392584435</c:v>
                </c:pt>
                <c:pt idx="2">
                  <c:v>3.152754345583001</c:v>
                </c:pt>
                <c:pt idx="3">
                  <c:v>2.396881026424501</c:v>
                </c:pt>
                <c:pt idx="4">
                  <c:v>1.08014784924519</c:v>
                </c:pt>
                <c:pt idx="5">
                  <c:v>0.31154870265625</c:v>
                </c:pt>
                <c:pt idx="6">
                  <c:v>0.044723638</c:v>
                </c:pt>
                <c:pt idx="7">
                  <c:v>0.0158149673</c:v>
                </c:pt>
                <c:pt idx="8">
                  <c:v>0.0023800251</c:v>
                </c:pt>
              </c:numCache>
            </c:numRef>
          </c:yVal>
          <c:smooth val="0"/>
        </c:ser>
        <c:ser>
          <c:idx val="13"/>
          <c:order val="6"/>
          <c:tx>
            <c:strRef>
              <c:f>Cu!$AD$15</c:f>
              <c:strCache>
                <c:ptCount val="1"/>
                <c:pt idx="0">
                  <c:v>C2+ products from OD-Cu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Cu!$Q$23:$Q$30</c:f>
              <c:numCache>
                <c:formatCode>General</c:formatCode>
                <c:ptCount val="8"/>
                <c:pt idx="0">
                  <c:v>-0.5</c:v>
                </c:pt>
                <c:pt idx="1">
                  <c:v>-0.55</c:v>
                </c:pt>
                <c:pt idx="2">
                  <c:v>-0.6</c:v>
                </c:pt>
                <c:pt idx="3">
                  <c:v>-0.65</c:v>
                </c:pt>
                <c:pt idx="4">
                  <c:v>-0.7</c:v>
                </c:pt>
                <c:pt idx="5">
                  <c:v>-0.75</c:v>
                </c:pt>
                <c:pt idx="6">
                  <c:v>-0.8</c:v>
                </c:pt>
                <c:pt idx="7">
                  <c:v>-0.85</c:v>
                </c:pt>
              </c:numCache>
            </c:numRef>
          </c:xVal>
          <c:yVal>
            <c:numRef>
              <c:f>Cu!$AE$23:$AE$30</c:f>
              <c:numCache>
                <c:formatCode>General</c:formatCode>
                <c:ptCount val="8"/>
                <c:pt idx="0">
                  <c:v>0.0001785</c:v>
                </c:pt>
                <c:pt idx="1">
                  <c:v>0.000314166666666667</c:v>
                </c:pt>
                <c:pt idx="2">
                  <c:v>0.000667020833333333</c:v>
                </c:pt>
                <c:pt idx="3">
                  <c:v>0.00115777083333333</c:v>
                </c:pt>
                <c:pt idx="4">
                  <c:v>0.001358125</c:v>
                </c:pt>
                <c:pt idx="5">
                  <c:v>0.00337305</c:v>
                </c:pt>
                <c:pt idx="6">
                  <c:v>0.0054325</c:v>
                </c:pt>
                <c:pt idx="7">
                  <c:v>0.006690625</c:v>
                </c:pt>
              </c:numCache>
            </c:numRef>
          </c:yVal>
          <c:smooth val="0"/>
        </c:ser>
        <c:ser>
          <c:idx val="4"/>
          <c:order val="7"/>
          <c:tx>
            <c:strRef>
              <c:f>Cu!$AH$15</c:f>
              <c:strCache>
                <c:ptCount val="1"/>
                <c:pt idx="0">
                  <c:v>CH4 from pc Cu (COR) [Jaramillo]</c:v>
                </c:pt>
              </c:strCache>
            </c:strRef>
          </c:tx>
          <c:spPr>
            <a:ln w="19050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diamond"/>
            <c:size val="8"/>
            <c:spPr>
              <a:solidFill>
                <a:srgbClr val="FFC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Cu!$AG$17:$AG$19</c:f>
              <c:numCache>
                <c:formatCode>General</c:formatCode>
                <c:ptCount val="3"/>
                <c:pt idx="0">
                  <c:v>-0.80907327</c:v>
                </c:pt>
                <c:pt idx="1">
                  <c:v>-0.7735996</c:v>
                </c:pt>
                <c:pt idx="2">
                  <c:v>-0.7289877</c:v>
                </c:pt>
              </c:numCache>
            </c:numRef>
          </c:xVal>
          <c:yVal>
            <c:numRef>
              <c:f>Cu!$AH$17:$AH$19</c:f>
              <c:numCache>
                <c:formatCode>General</c:formatCode>
                <c:ptCount val="3"/>
                <c:pt idx="0">
                  <c:v>0.80211216</c:v>
                </c:pt>
                <c:pt idx="1">
                  <c:v>0.16631481</c:v>
                </c:pt>
                <c:pt idx="2">
                  <c:v>0.016234025</c:v>
                </c:pt>
              </c:numCache>
            </c:numRef>
          </c:yVal>
          <c:smooth val="0"/>
        </c:ser>
        <c:ser>
          <c:idx val="14"/>
          <c:order val="8"/>
          <c:tx>
            <c:strRef>
              <c:f>Cu!$AM$15</c:f>
              <c:strCache>
                <c:ptCount val="1"/>
                <c:pt idx="0">
                  <c:v>C2+ from pc Cu (COR) [Jaramillo]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diamond"/>
            <c:size val="10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Cu!$AG$17:$AG$25</c:f>
              <c:numCache>
                <c:formatCode>General</c:formatCode>
                <c:ptCount val="9"/>
                <c:pt idx="0">
                  <c:v>-0.80907327</c:v>
                </c:pt>
                <c:pt idx="1">
                  <c:v>-0.7735996</c:v>
                </c:pt>
                <c:pt idx="2">
                  <c:v>-0.7289877</c:v>
                </c:pt>
                <c:pt idx="3">
                  <c:v>-0.6824954</c:v>
                </c:pt>
                <c:pt idx="4">
                  <c:v>-0.6335365</c:v>
                </c:pt>
                <c:pt idx="5">
                  <c:v>-0.58140105</c:v>
                </c:pt>
                <c:pt idx="6">
                  <c:v>-0.5344138</c:v>
                </c:pt>
                <c:pt idx="7">
                  <c:v>-0.48579773</c:v>
                </c:pt>
                <c:pt idx="8">
                  <c:v>-0.434926</c:v>
                </c:pt>
              </c:numCache>
            </c:numRef>
          </c:xVal>
          <c:yVal>
            <c:numRef>
              <c:f>Cu!$AM$17:$AM$25</c:f>
              <c:numCache>
                <c:formatCode>General</c:formatCode>
                <c:ptCount val="9"/>
                <c:pt idx="0">
                  <c:v>0.079838779</c:v>
                </c:pt>
                <c:pt idx="1">
                  <c:v>0.632186506</c:v>
                </c:pt>
                <c:pt idx="2">
                  <c:v>0.65929464</c:v>
                </c:pt>
                <c:pt idx="3">
                  <c:v>0.718272677</c:v>
                </c:pt>
                <c:pt idx="4">
                  <c:v>0.571601369</c:v>
                </c:pt>
                <c:pt idx="5">
                  <c:v>0.29564903</c:v>
                </c:pt>
                <c:pt idx="6">
                  <c:v>0.113592622</c:v>
                </c:pt>
                <c:pt idx="7">
                  <c:v>0.022984862</c:v>
                </c:pt>
                <c:pt idx="8">
                  <c:v>0.0053065205</c:v>
                </c:pt>
              </c:numCache>
            </c:numRef>
          </c:yVal>
          <c:smooth val="0"/>
        </c:ser>
        <c:ser>
          <c:idx val="8"/>
          <c:order val="9"/>
          <c:tx>
            <c:strRef>
              <c:f>Cu!$M$15</c:f>
              <c:strCache>
                <c:ptCount val="1"/>
                <c:pt idx="0">
                  <c:v>C2+ products from OD-Cu (COR)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Cu!$E$17:$E$22</c:f>
              <c:numCache>
                <c:formatCode>General</c:formatCode>
                <c:ptCount val="6"/>
                <c:pt idx="0">
                  <c:v>-0.25</c:v>
                </c:pt>
                <c:pt idx="1">
                  <c:v>-0.3</c:v>
                </c:pt>
                <c:pt idx="2">
                  <c:v>-0.35</c:v>
                </c:pt>
                <c:pt idx="3">
                  <c:v>-0.4</c:v>
                </c:pt>
                <c:pt idx="4">
                  <c:v>-0.45</c:v>
                </c:pt>
                <c:pt idx="5">
                  <c:v>-0.5</c:v>
                </c:pt>
              </c:numCache>
            </c:numRef>
          </c:xVal>
          <c:yVal>
            <c:numRef>
              <c:f>Cu!$N$17:$N$22</c:f>
              <c:numCache>
                <c:formatCode>General</c:formatCode>
                <c:ptCount val="6"/>
                <c:pt idx="0">
                  <c:v>0.000285084662576687</c:v>
                </c:pt>
                <c:pt idx="1">
                  <c:v>0.000998374233128834</c:v>
                </c:pt>
                <c:pt idx="2">
                  <c:v>0.00168213496932515</c:v>
                </c:pt>
                <c:pt idx="3">
                  <c:v>0.0026558282208589</c:v>
                </c:pt>
                <c:pt idx="4">
                  <c:v>0.00317484662576687</c:v>
                </c:pt>
                <c:pt idx="5">
                  <c:v>0.00356907975460123</c:v>
                </c:pt>
              </c:numCache>
            </c:numRef>
          </c:yVal>
          <c:smooth val="0"/>
        </c:ser>
        <c:ser>
          <c:idx val="12"/>
          <c:order val="10"/>
          <c:tx>
            <c:strRef>
              <c:f>Cu!$M$24</c:f>
              <c:strCache>
                <c:ptCount val="1"/>
                <c:pt idx="0">
                  <c:v>C2+ products from Cu NPs (COR) [Kanan]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square"/>
            <c:size val="8"/>
            <c:spPr>
              <a:solidFill>
                <a:srgbClr val="FF0000"/>
              </a:solidFill>
              <a:ln w="9525">
                <a:solidFill>
                  <a:schemeClr val="bg1"/>
                </a:solidFill>
              </a:ln>
              <a:effectLst/>
            </c:spPr>
          </c:marker>
          <c:xVal>
            <c:numRef>
              <c:f>Cu!$E$25:$E$30</c:f>
              <c:numCache>
                <c:formatCode>General</c:formatCode>
                <c:ptCount val="6"/>
                <c:pt idx="0">
                  <c:v>-0.3</c:v>
                </c:pt>
                <c:pt idx="1">
                  <c:v>-0.35</c:v>
                </c:pt>
                <c:pt idx="2">
                  <c:v>-0.4</c:v>
                </c:pt>
                <c:pt idx="3">
                  <c:v>-0.45</c:v>
                </c:pt>
                <c:pt idx="4">
                  <c:v>-0.5</c:v>
                </c:pt>
                <c:pt idx="5">
                  <c:v>-0.6</c:v>
                </c:pt>
              </c:numCache>
            </c:numRef>
          </c:xVal>
          <c:yVal>
            <c:numRef>
              <c:f>Cu!$N$25:$N$30</c:f>
              <c:numCache>
                <c:formatCode>General</c:formatCode>
                <c:ptCount val="6"/>
                <c:pt idx="0">
                  <c:v>5.89E-5</c:v>
                </c:pt>
                <c:pt idx="1">
                  <c:v>0.000177466666666667</c:v>
                </c:pt>
                <c:pt idx="2">
                  <c:v>0.0005738</c:v>
                </c:pt>
                <c:pt idx="3">
                  <c:v>0.0013713</c:v>
                </c:pt>
                <c:pt idx="4">
                  <c:v>0.003575</c:v>
                </c:pt>
                <c:pt idx="5">
                  <c:v>0.00489633333333333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540080"/>
        <c:axId val="732543840"/>
      </c:scatterChart>
      <c:valAx>
        <c:axId val="732540080"/>
        <c:scaling>
          <c:orientation val="minMax"/>
          <c:max val="-0.15"/>
          <c:min val="-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Potential (V vs. RHE)</a:t>
                </a:r>
              </a:p>
            </c:rich>
          </c:tx>
          <c:layout>
            <c:manualLayout>
              <c:xMode val="edge"/>
              <c:yMode val="edge"/>
              <c:x val="0.343971622796532"/>
              <c:y val="0.8916884266946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543840"/>
        <c:crossesAt val="1.0E-6"/>
        <c:crossBetween val="midCat"/>
        <c:majorUnit val="0.2"/>
      </c:valAx>
      <c:valAx>
        <c:axId val="732543840"/>
        <c:scaling>
          <c:logBase val="10.0"/>
          <c:orientation val="minMax"/>
          <c:max val="25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i="1"/>
                  <a:t>j</a:t>
                </a:r>
                <a:r>
                  <a:rPr lang="en-US"/>
                  <a:t> (mA/cm</a:t>
                </a:r>
                <a:r>
                  <a:rPr lang="en-US" baseline="-25000"/>
                  <a:t>real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.0145947229654489"/>
              <c:y val="0.371728154597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732540080"/>
        <c:crossesAt val="-1.2"/>
        <c:crossBetween val="midCat"/>
      </c:valAx>
      <c:spPr>
        <a:noFill/>
        <a:ln w="25400">
          <a:solidFill>
            <a:schemeClr val="tx1"/>
          </a:solidFill>
          <a:prstDash val="solid"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649001311022729"/>
          <c:y val="0.108724357947669"/>
          <c:w val="0.321544468231379"/>
          <c:h val="0.724956956855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 orientation="portrait" horizontalDpi="-4" verticalDpi="-4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3.xml"/><Relationship Id="rId12" Type="http://schemas.openxmlformats.org/officeDocument/2006/relationships/chart" Target="../charts/chart14.xml"/><Relationship Id="rId13" Type="http://schemas.openxmlformats.org/officeDocument/2006/relationships/chart" Target="../charts/chart15.xml"/><Relationship Id="rId14" Type="http://schemas.openxmlformats.org/officeDocument/2006/relationships/chart" Target="../charts/chart1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7.xml"/><Relationship Id="rId6" Type="http://schemas.openxmlformats.org/officeDocument/2006/relationships/chart" Target="../charts/chart8.xml"/><Relationship Id="rId7" Type="http://schemas.openxmlformats.org/officeDocument/2006/relationships/chart" Target="../charts/chart9.xml"/><Relationship Id="rId8" Type="http://schemas.openxmlformats.org/officeDocument/2006/relationships/chart" Target="../charts/chart10.xml"/><Relationship Id="rId9" Type="http://schemas.openxmlformats.org/officeDocument/2006/relationships/chart" Target="../charts/chart11.xml"/><Relationship Id="rId10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495300</xdr:colOff>
      <xdr:row>1</xdr:row>
      <xdr:rowOff>152400</xdr:rowOff>
    </xdr:from>
    <xdr:to>
      <xdr:col>36</xdr:col>
      <xdr:colOff>190500</xdr:colOff>
      <xdr:row>17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444014</xdr:colOff>
      <xdr:row>13</xdr:row>
      <xdr:rowOff>163077</xdr:rowOff>
    </xdr:from>
    <xdr:to>
      <xdr:col>14</xdr:col>
      <xdr:colOff>95875</xdr:colOff>
      <xdr:row>28</xdr:row>
      <xdr:rowOff>103252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546100</xdr:colOff>
      <xdr:row>70</xdr:row>
      <xdr:rowOff>139700</xdr:rowOff>
    </xdr:from>
    <xdr:to>
      <xdr:col>37</xdr:col>
      <xdr:colOff>446008</xdr:colOff>
      <xdr:row>85</xdr:row>
      <xdr:rowOff>31968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85078</xdr:colOff>
      <xdr:row>38</xdr:row>
      <xdr:rowOff>27021</xdr:rowOff>
    </xdr:from>
    <xdr:to>
      <xdr:col>27</xdr:col>
      <xdr:colOff>621219</xdr:colOff>
      <xdr:row>79</xdr:row>
      <xdr:rowOff>124568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54001</xdr:colOff>
      <xdr:row>62</xdr:row>
      <xdr:rowOff>145738</xdr:rowOff>
    </xdr:from>
    <xdr:to>
      <xdr:col>34</xdr:col>
      <xdr:colOff>360186</xdr:colOff>
      <xdr:row>102</xdr:row>
      <xdr:rowOff>96355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675531</xdr:colOff>
      <xdr:row>85</xdr:row>
      <xdr:rowOff>1</xdr:rowOff>
    </xdr:from>
    <xdr:to>
      <xdr:col>33</xdr:col>
      <xdr:colOff>229681</xdr:colOff>
      <xdr:row>123</xdr:row>
      <xdr:rowOff>108086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123</xdr:row>
      <xdr:rowOff>0</xdr:rowOff>
    </xdr:from>
    <xdr:to>
      <xdr:col>24</xdr:col>
      <xdr:colOff>229682</xdr:colOff>
      <xdr:row>161</xdr:row>
      <xdr:rowOff>175639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79</xdr:row>
      <xdr:rowOff>162127</xdr:rowOff>
    </xdr:from>
    <xdr:to>
      <xdr:col>15</xdr:col>
      <xdr:colOff>536141</xdr:colOff>
      <xdr:row>126</xdr:row>
      <xdr:rowOff>168117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255366</xdr:colOff>
      <xdr:row>34</xdr:row>
      <xdr:rowOff>49588</xdr:rowOff>
    </xdr:from>
    <xdr:to>
      <xdr:col>47</xdr:col>
      <xdr:colOff>222109</xdr:colOff>
      <xdr:row>74</xdr:row>
      <xdr:rowOff>127145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567446</xdr:colOff>
      <xdr:row>69</xdr:row>
      <xdr:rowOff>0</xdr:rowOff>
    </xdr:from>
    <xdr:to>
      <xdr:col>53</xdr:col>
      <xdr:colOff>202660</xdr:colOff>
      <xdr:row>108</xdr:row>
      <xdr:rowOff>137539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432637</xdr:colOff>
      <xdr:row>27</xdr:row>
      <xdr:rowOff>13957</xdr:rowOff>
    </xdr:from>
    <xdr:to>
      <xdr:col>64</xdr:col>
      <xdr:colOff>484331</xdr:colOff>
      <xdr:row>67</xdr:row>
      <xdr:rowOff>33263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27914</xdr:colOff>
      <xdr:row>33</xdr:row>
      <xdr:rowOff>72850</xdr:rowOff>
    </xdr:from>
    <xdr:to>
      <xdr:col>8</xdr:col>
      <xdr:colOff>580573</xdr:colOff>
      <xdr:row>47</xdr:row>
      <xdr:rowOff>80665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55824</xdr:colOff>
      <xdr:row>45</xdr:row>
      <xdr:rowOff>83735</xdr:rowOff>
    </xdr:from>
    <xdr:to>
      <xdr:col>6</xdr:col>
      <xdr:colOff>608483</xdr:colOff>
      <xdr:row>59</xdr:row>
      <xdr:rowOff>91550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47</xdr:row>
      <xdr:rowOff>167472</xdr:rowOff>
    </xdr:from>
    <xdr:to>
      <xdr:col>11</xdr:col>
      <xdr:colOff>279120</xdr:colOff>
      <xdr:row>73</xdr:row>
      <xdr:rowOff>125604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404726</xdr:colOff>
      <xdr:row>43</xdr:row>
      <xdr:rowOff>181430</xdr:rowOff>
    </xdr:from>
    <xdr:to>
      <xdr:col>9</xdr:col>
      <xdr:colOff>530329</xdr:colOff>
      <xdr:row>69</xdr:row>
      <xdr:rowOff>139562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47</xdr:col>
      <xdr:colOff>111649</xdr:colOff>
      <xdr:row>28</xdr:row>
      <xdr:rowOff>153516</xdr:rowOff>
    </xdr:from>
    <xdr:to>
      <xdr:col>64</xdr:col>
      <xdr:colOff>190041</xdr:colOff>
      <xdr:row>69</xdr:row>
      <xdr:rowOff>7776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33</xdr:row>
      <xdr:rowOff>9525</xdr:rowOff>
    </xdr:from>
    <xdr:to>
      <xdr:col>31</xdr:col>
      <xdr:colOff>476250</xdr:colOff>
      <xdr:row>47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222250</xdr:colOff>
      <xdr:row>22</xdr:row>
      <xdr:rowOff>44450</xdr:rowOff>
    </xdr:from>
    <xdr:to>
      <xdr:col>19</xdr:col>
      <xdr:colOff>82550</xdr:colOff>
      <xdr:row>36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11</xdr:row>
      <xdr:rowOff>0</xdr:rowOff>
    </xdr:from>
    <xdr:to>
      <xdr:col>21</xdr:col>
      <xdr:colOff>200025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158750</xdr:colOff>
      <xdr:row>16</xdr:row>
      <xdr:rowOff>171450</xdr:rowOff>
    </xdr:from>
    <xdr:to>
      <xdr:col>17</xdr:col>
      <xdr:colOff>374650</xdr:colOff>
      <xdr:row>31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25</xdr:col>
      <xdr:colOff>241300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453973</xdr:colOff>
      <xdr:row>10</xdr:row>
      <xdr:rowOff>70307</xdr:rowOff>
    </xdr:from>
    <xdr:to>
      <xdr:col>12</xdr:col>
      <xdr:colOff>16139</xdr:colOff>
      <xdr:row>24</xdr:row>
      <xdr:rowOff>161242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han/Dropbox/stanford/Results/plot_current_densities/andy_peterson_H2_on_C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E4" t="str">
            <v>mA/cm2</v>
          </cell>
        </row>
        <row r="5">
          <cell r="E5">
            <v>-14.485633999999999</v>
          </cell>
          <cell r="F5">
            <v>14.485633999999999</v>
          </cell>
        </row>
        <row r="6">
          <cell r="E6">
            <v>-13.312645</v>
          </cell>
          <cell r="F6">
            <v>13.312645</v>
          </cell>
        </row>
        <row r="7">
          <cell r="E7">
            <v>-12.608732</v>
          </cell>
          <cell r="F7">
            <v>12.608732</v>
          </cell>
        </row>
        <row r="8">
          <cell r="E8">
            <v>-11.668184</v>
          </cell>
          <cell r="F8">
            <v>11.668184</v>
          </cell>
        </row>
        <row r="9">
          <cell r="E9">
            <v>-10.651554000000001</v>
          </cell>
          <cell r="F9">
            <v>10.651554000000001</v>
          </cell>
        </row>
        <row r="10">
          <cell r="E10">
            <v>-9.8667660000000001</v>
          </cell>
          <cell r="F10">
            <v>9.8667660000000001</v>
          </cell>
        </row>
        <row r="11">
          <cell r="E11">
            <v>-8.8495360000000005</v>
          </cell>
          <cell r="F11">
            <v>8.8495360000000005</v>
          </cell>
        </row>
        <row r="12">
          <cell r="E12">
            <v>-7.9083895999999996</v>
          </cell>
          <cell r="F12">
            <v>7.9083895999999996</v>
          </cell>
        </row>
        <row r="13">
          <cell r="E13">
            <v>-7.1247993000000003</v>
          </cell>
          <cell r="F13">
            <v>7.1247993000000003</v>
          </cell>
        </row>
        <row r="14">
          <cell r="E14">
            <v>-6.2615322999999998</v>
          </cell>
          <cell r="F14">
            <v>6.2615322999999998</v>
          </cell>
        </row>
        <row r="15">
          <cell r="E15">
            <v>-5.4767437000000001</v>
          </cell>
          <cell r="F15">
            <v>5.4767437000000001</v>
          </cell>
        </row>
        <row r="16">
          <cell r="E16">
            <v>-4.9273920000000002</v>
          </cell>
          <cell r="F16">
            <v>4.9273920000000002</v>
          </cell>
        </row>
        <row r="17">
          <cell r="E17">
            <v>-4.2204839999999999</v>
          </cell>
          <cell r="F17">
            <v>4.2204839999999999</v>
          </cell>
        </row>
        <row r="18">
          <cell r="E18">
            <v>-3.7472143</v>
          </cell>
          <cell r="F18">
            <v>3.7472143</v>
          </cell>
        </row>
        <row r="19">
          <cell r="E19">
            <v>-3.1960652000000001</v>
          </cell>
          <cell r="F19">
            <v>3.1960652000000001</v>
          </cell>
        </row>
        <row r="20">
          <cell r="E20">
            <v>-2.8797535999999999</v>
          </cell>
          <cell r="F20">
            <v>2.8797535999999999</v>
          </cell>
        </row>
        <row r="21">
          <cell r="E21">
            <v>-2.3304019999999999</v>
          </cell>
          <cell r="F21">
            <v>2.3304019999999999</v>
          </cell>
        </row>
        <row r="22">
          <cell r="E22">
            <v>-2.0122930000000001</v>
          </cell>
          <cell r="F22">
            <v>2.0122930000000001</v>
          </cell>
        </row>
        <row r="23">
          <cell r="E23">
            <v>-1.5378255999999999</v>
          </cell>
          <cell r="F23">
            <v>1.5378255999999999</v>
          </cell>
        </row>
        <row r="24">
          <cell r="E24">
            <v>-1.2179196000000001</v>
          </cell>
          <cell r="F24">
            <v>1.2179196000000001</v>
          </cell>
        </row>
        <row r="25">
          <cell r="E25">
            <v>-0.82133186000000002</v>
          </cell>
          <cell r="F25">
            <v>0.82133186000000002</v>
          </cell>
        </row>
        <row r="26">
          <cell r="E26">
            <v>-0.65838339999999995</v>
          </cell>
          <cell r="F26">
            <v>0.65838339999999995</v>
          </cell>
        </row>
        <row r="27">
          <cell r="E27">
            <v>-0.34027459999999998</v>
          </cell>
          <cell r="F27">
            <v>0.34027459999999998</v>
          </cell>
        </row>
        <row r="28">
          <cell r="E28">
            <v>-0.1749299</v>
          </cell>
          <cell r="F28">
            <v>0.1749299</v>
          </cell>
        </row>
        <row r="29">
          <cell r="E29">
            <v>-8.9262179999999997E-2</v>
          </cell>
          <cell r="F29">
            <v>8.9262179999999997E-2</v>
          </cell>
        </row>
        <row r="30">
          <cell r="E30">
            <v>7.1289930000000001E-2</v>
          </cell>
          <cell r="F30">
            <v>-7.1289930000000001E-2</v>
          </cell>
        </row>
        <row r="31">
          <cell r="E31">
            <v>0.15336321</v>
          </cell>
          <cell r="F31">
            <v>-0.15336321</v>
          </cell>
        </row>
        <row r="32">
          <cell r="E32">
            <v>0.15995303</v>
          </cell>
          <cell r="F32">
            <v>-0.15995303</v>
          </cell>
        </row>
        <row r="33">
          <cell r="E33">
            <v>0.16414656</v>
          </cell>
          <cell r="F33">
            <v>-0.16414656</v>
          </cell>
        </row>
        <row r="34">
          <cell r="E34">
            <v>0.16834009</v>
          </cell>
          <cell r="F34">
            <v>-0.16834009</v>
          </cell>
        </row>
        <row r="35">
          <cell r="E35">
            <v>0.17672713000000001</v>
          </cell>
          <cell r="F35">
            <v>-0.17672713000000001</v>
          </cell>
        </row>
        <row r="36">
          <cell r="E36">
            <v>0.26479116000000003</v>
          </cell>
          <cell r="F36">
            <v>-0.26479116000000003</v>
          </cell>
        </row>
        <row r="37">
          <cell r="E37">
            <v>0.34926075000000001</v>
          </cell>
          <cell r="F37">
            <v>-0.34926075000000001</v>
          </cell>
        </row>
        <row r="38">
          <cell r="E38">
            <v>0.43792385</v>
          </cell>
          <cell r="F38">
            <v>-0.43792385</v>
          </cell>
        </row>
        <row r="39">
          <cell r="E39">
            <v>0.44990533999999999</v>
          </cell>
          <cell r="F39">
            <v>-0.44990533999999999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D53"/>
  <sheetViews>
    <sheetView zoomScale="115" zoomScaleNormal="115" zoomScalePageLayoutView="115" workbookViewId="0">
      <selection activeCell="B12" sqref="B12"/>
    </sheetView>
  </sheetViews>
  <sheetFormatPr baseColWidth="10" defaultColWidth="9.1640625" defaultRowHeight="12" x14ac:dyDescent="0.15"/>
  <cols>
    <col min="1" max="1" width="9.1640625" style="52"/>
    <col min="2" max="2" width="8" style="52" customWidth="1"/>
    <col min="3" max="3" width="10.5" style="54" customWidth="1"/>
    <col min="4" max="4" width="8.83203125" style="54" customWidth="1"/>
    <col min="5" max="5" width="9.1640625" style="54"/>
    <col min="6" max="6" width="11.33203125" style="54" customWidth="1"/>
    <col min="7" max="10" width="9.1640625" style="55"/>
    <col min="11" max="17" width="9.1640625" style="52"/>
    <col min="18" max="18" width="13.33203125" style="52" bestFit="1" customWidth="1"/>
    <col min="19" max="23" width="13.33203125" style="52" customWidth="1"/>
    <col min="24" max="16384" width="9.1640625" style="52"/>
  </cols>
  <sheetData>
    <row r="1" spans="1:29" x14ac:dyDescent="0.15">
      <c r="C1" s="96" t="s">
        <v>94</v>
      </c>
      <c r="D1" s="96"/>
      <c r="E1" s="96"/>
      <c r="F1" s="96"/>
      <c r="G1" s="96"/>
      <c r="H1" s="96"/>
      <c r="I1" s="96"/>
      <c r="J1" s="96"/>
    </row>
    <row r="2" spans="1:29" ht="24" x14ac:dyDescent="0.15">
      <c r="A2" s="74" t="s">
        <v>88</v>
      </c>
      <c r="B2" s="75" t="s">
        <v>92</v>
      </c>
      <c r="C2" s="76" t="s">
        <v>5</v>
      </c>
      <c r="D2" s="76" t="s">
        <v>93</v>
      </c>
      <c r="E2" s="76" t="s">
        <v>89</v>
      </c>
      <c r="F2" s="76" t="s">
        <v>90</v>
      </c>
      <c r="G2" s="77" t="s">
        <v>5</v>
      </c>
      <c r="H2" s="77" t="s">
        <v>93</v>
      </c>
      <c r="I2" s="77" t="s">
        <v>89</v>
      </c>
      <c r="J2" s="77" t="s">
        <v>90</v>
      </c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</row>
    <row r="3" spans="1:29" x14ac:dyDescent="0.15">
      <c r="A3" s="74"/>
      <c r="B3" s="78"/>
      <c r="C3" s="76" t="s">
        <v>2</v>
      </c>
      <c r="D3" s="76" t="s">
        <v>2</v>
      </c>
      <c r="E3" s="76" t="s">
        <v>2</v>
      </c>
      <c r="F3" s="76" t="s">
        <v>2</v>
      </c>
      <c r="G3" s="77" t="s">
        <v>86</v>
      </c>
      <c r="H3" s="77" t="s">
        <v>86</v>
      </c>
      <c r="I3" s="77" t="s">
        <v>86</v>
      </c>
      <c r="J3" s="77" t="s">
        <v>86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</row>
    <row r="4" spans="1:29" s="53" customFormat="1" x14ac:dyDescent="0.15">
      <c r="A4" s="64" t="s">
        <v>25</v>
      </c>
      <c r="B4" s="64">
        <v>-0.25</v>
      </c>
      <c r="C4" s="71">
        <v>-1.4E-3</v>
      </c>
      <c r="D4" s="71"/>
      <c r="E4" s="71"/>
      <c r="F4" s="71"/>
      <c r="G4" s="67">
        <f>C4*1000</f>
        <v>-1.4</v>
      </c>
      <c r="H4" s="65"/>
      <c r="I4" s="65"/>
      <c r="J4" s="65"/>
    </row>
    <row r="5" spans="1:29" x14ac:dyDescent="0.15">
      <c r="A5" s="64" t="s">
        <v>28</v>
      </c>
      <c r="B5" s="64">
        <v>-0.4</v>
      </c>
      <c r="C5" s="71">
        <v>-4.4999999999999999E-4</v>
      </c>
      <c r="D5" s="71"/>
      <c r="E5" s="71"/>
      <c r="F5" s="71"/>
      <c r="G5" s="67">
        <f>C5*1000</f>
        <v>-0.45</v>
      </c>
      <c r="H5" s="65"/>
      <c r="I5" s="65"/>
      <c r="J5" s="65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Z5" s="53"/>
      <c r="AA5" s="53"/>
      <c r="AB5" s="53"/>
      <c r="AC5" s="53"/>
    </row>
    <row r="6" spans="1:29" x14ac:dyDescent="0.15">
      <c r="A6" s="64" t="s">
        <v>26</v>
      </c>
      <c r="B6" s="66">
        <v>-0.52649999999999997</v>
      </c>
      <c r="C6" s="71">
        <v>-3.5000000000000001E-3</v>
      </c>
      <c r="D6" s="71"/>
      <c r="E6" s="71"/>
      <c r="F6" s="71"/>
      <c r="G6" s="67">
        <f>C6*1000</f>
        <v>-3.5</v>
      </c>
      <c r="H6" s="67"/>
      <c r="I6" s="67"/>
      <c r="J6" s="67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7"/>
      <c r="X6" s="57"/>
      <c r="Y6" s="53"/>
      <c r="Z6" s="53"/>
      <c r="AA6" s="53"/>
      <c r="AC6" s="53"/>
    </row>
    <row r="7" spans="1:29" x14ac:dyDescent="0.15">
      <c r="A7" s="64" t="s">
        <v>47</v>
      </c>
      <c r="B7" s="79">
        <v>-0.60119999999999996</v>
      </c>
      <c r="C7" s="71">
        <v>-2.0999999999999999E-3</v>
      </c>
      <c r="D7" s="71"/>
      <c r="E7" s="71"/>
      <c r="F7" s="71"/>
      <c r="G7" s="67">
        <f t="shared" ref="G7:H10" si="0">C7*1000</f>
        <v>-2.1</v>
      </c>
      <c r="H7" s="67"/>
      <c r="I7" s="67"/>
      <c r="J7" s="67"/>
      <c r="K7" s="58"/>
      <c r="L7" s="58"/>
      <c r="M7" s="58"/>
      <c r="N7" s="58"/>
      <c r="O7" s="58"/>
      <c r="P7" s="58"/>
      <c r="Q7" s="58"/>
      <c r="R7" s="59"/>
      <c r="S7" s="59"/>
      <c r="T7" s="59"/>
      <c r="U7" s="59"/>
      <c r="V7" s="59"/>
      <c r="W7" s="59"/>
      <c r="X7" s="60"/>
      <c r="Y7" s="57"/>
      <c r="Z7" s="60"/>
      <c r="AA7" s="60"/>
      <c r="AB7" s="61"/>
      <c r="AC7" s="53"/>
    </row>
    <row r="8" spans="1:29" x14ac:dyDescent="0.15">
      <c r="A8" s="64" t="s">
        <v>27</v>
      </c>
      <c r="B8" s="80">
        <v>-0.56999999999999995</v>
      </c>
      <c r="C8" s="71">
        <v>-4.4519860170563004E-4</v>
      </c>
      <c r="D8" s="71"/>
      <c r="E8" s="71"/>
      <c r="F8" s="71"/>
      <c r="G8" s="67">
        <f t="shared" si="0"/>
        <v>-0.44519860170563003</v>
      </c>
      <c r="H8" s="67"/>
      <c r="I8" s="67"/>
      <c r="J8" s="67"/>
      <c r="K8" s="58"/>
      <c r="L8" s="58"/>
      <c r="M8" s="58"/>
      <c r="N8" s="58"/>
      <c r="O8" s="58"/>
      <c r="P8" s="58"/>
      <c r="Q8" s="58"/>
      <c r="R8" s="59"/>
      <c r="S8" s="59"/>
      <c r="T8" s="59"/>
      <c r="U8" s="59"/>
      <c r="V8" s="59"/>
      <c r="W8" s="59"/>
      <c r="X8" s="60"/>
      <c r="Y8" s="57"/>
      <c r="Z8" s="60"/>
      <c r="AA8" s="60"/>
      <c r="AB8" s="61"/>
      <c r="AC8" s="53"/>
    </row>
    <row r="9" spans="1:29" x14ac:dyDescent="0.15">
      <c r="A9" s="64" t="s">
        <v>29</v>
      </c>
      <c r="B9" s="80">
        <v>-0.74788236064250124</v>
      </c>
      <c r="C9" s="71"/>
      <c r="D9" s="71">
        <v>-7.4598051142207335E-4</v>
      </c>
      <c r="E9" s="71">
        <v>-3.5928098523004417E-5</v>
      </c>
      <c r="F9" s="71">
        <v>-5.085816881706391E-4</v>
      </c>
      <c r="G9" s="67"/>
      <c r="H9" s="67">
        <f t="shared" si="0"/>
        <v>-0.74598051142207333</v>
      </c>
      <c r="I9" s="67">
        <f t="shared" ref="I9" si="1">E9*1000</f>
        <v>-3.5928098523004416E-2</v>
      </c>
      <c r="J9" s="67">
        <f t="shared" ref="J9" si="2">F9*1000</f>
        <v>-0.50858168817063909</v>
      </c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59"/>
      <c r="W9" s="59"/>
      <c r="X9" s="60"/>
      <c r="Y9" s="53"/>
      <c r="Z9" s="53"/>
      <c r="AA9" s="53"/>
      <c r="AB9" s="61"/>
      <c r="AC9" s="53"/>
    </row>
    <row r="10" spans="1:29" x14ac:dyDescent="0.15">
      <c r="A10" s="68" t="s">
        <v>30</v>
      </c>
      <c r="B10" s="81">
        <v>-0.54198000000000002</v>
      </c>
      <c r="C10" s="72"/>
      <c r="D10" s="72">
        <v>-5.1981063909922341E-4</v>
      </c>
      <c r="E10" s="72"/>
      <c r="F10" s="72"/>
      <c r="G10" s="69"/>
      <c r="H10" s="69">
        <f t="shared" si="0"/>
        <v>-0.51981063909922343</v>
      </c>
      <c r="I10" s="69"/>
      <c r="J10" s="69"/>
      <c r="K10" s="58"/>
      <c r="L10" s="58"/>
      <c r="M10" s="59"/>
      <c r="N10" s="59"/>
      <c r="O10" s="59"/>
      <c r="R10" s="59"/>
      <c r="S10" s="60"/>
      <c r="T10" s="57"/>
      <c r="U10" s="60"/>
      <c r="V10" s="60"/>
      <c r="W10" s="61"/>
      <c r="X10" s="53"/>
    </row>
    <row r="11" spans="1:29" s="56" customFormat="1" x14ac:dyDescent="0.15">
      <c r="B11" s="61"/>
      <c r="C11" s="58"/>
      <c r="D11" s="58"/>
      <c r="E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9"/>
      <c r="S11" s="59"/>
      <c r="T11" s="59"/>
      <c r="U11" s="59"/>
      <c r="V11" s="59"/>
      <c r="W11" s="59"/>
      <c r="X11" s="58"/>
      <c r="Y11" s="70"/>
      <c r="AB11" s="61"/>
    </row>
    <row r="12" spans="1:29" s="56" customFormat="1" x14ac:dyDescent="0.15">
      <c r="B12" s="61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63"/>
      <c r="S12" s="63"/>
      <c r="T12" s="63"/>
      <c r="U12" s="63"/>
      <c r="V12" s="63"/>
      <c r="W12" s="63"/>
      <c r="X12" s="58"/>
      <c r="AB12" s="61"/>
    </row>
    <row r="13" spans="1:29" s="53" customFormat="1" x14ac:dyDescent="0.15">
      <c r="B13" s="61"/>
      <c r="C13" s="58"/>
      <c r="D13" s="58"/>
      <c r="E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9"/>
      <c r="S13" s="59"/>
      <c r="T13" s="59"/>
      <c r="U13" s="59"/>
      <c r="V13" s="59"/>
      <c r="W13" s="59"/>
      <c r="X13" s="58"/>
      <c r="AB13" s="61"/>
    </row>
    <row r="14" spans="1:29" s="53" customFormat="1" x14ac:dyDescent="0.15">
      <c r="B14" s="56"/>
      <c r="C14" s="56"/>
      <c r="D14" s="56"/>
      <c r="E14" s="56"/>
      <c r="F14" s="56"/>
      <c r="G14" s="56" t="s">
        <v>91</v>
      </c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</row>
    <row r="15" spans="1:29" s="53" customFormat="1" x14ac:dyDescent="0.15"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</row>
    <row r="16" spans="1:29" s="53" customFormat="1" x14ac:dyDescent="0.15"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7"/>
      <c r="X16" s="57"/>
    </row>
    <row r="17" spans="2:28" s="53" customFormat="1" x14ac:dyDescent="0.15">
      <c r="B17" s="61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9"/>
      <c r="S17" s="59"/>
      <c r="T17" s="59"/>
      <c r="U17" s="59"/>
      <c r="V17" s="59"/>
      <c r="W17" s="59"/>
      <c r="X17" s="60"/>
      <c r="Y17" s="57"/>
      <c r="Z17" s="60"/>
      <c r="AA17" s="60"/>
      <c r="AB17" s="61"/>
    </row>
    <row r="18" spans="2:28" s="53" customFormat="1" x14ac:dyDescent="0.15">
      <c r="B18" s="61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9"/>
      <c r="S18" s="59"/>
      <c r="T18" s="59"/>
      <c r="U18" s="59"/>
      <c r="V18" s="59"/>
      <c r="W18" s="59"/>
      <c r="X18" s="60"/>
      <c r="Y18" s="57"/>
      <c r="Z18" s="60"/>
      <c r="AA18" s="60"/>
      <c r="AB18" s="61"/>
    </row>
    <row r="19" spans="2:28" s="53" customFormat="1" x14ac:dyDescent="0.15">
      <c r="B19" s="61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9"/>
      <c r="S19" s="59"/>
      <c r="T19" s="59"/>
      <c r="U19" s="59"/>
      <c r="V19" s="59"/>
      <c r="W19" s="59"/>
      <c r="X19" s="60"/>
      <c r="Y19" s="57"/>
      <c r="Z19" s="60"/>
      <c r="AA19" s="60"/>
      <c r="AB19" s="61"/>
    </row>
    <row r="20" spans="2:28" s="53" customFormat="1" x14ac:dyDescent="0.15">
      <c r="B20" s="61"/>
      <c r="C20" s="57"/>
      <c r="D20" s="57"/>
      <c r="E20" s="57"/>
      <c r="F20" s="57"/>
      <c r="G20" s="57"/>
      <c r="R20" s="59"/>
      <c r="S20" s="59"/>
      <c r="T20" s="59"/>
      <c r="U20" s="59"/>
      <c r="V20" s="59"/>
      <c r="W20" s="59"/>
    </row>
    <row r="21" spans="2:28" s="53" customFormat="1" x14ac:dyDescent="0.15">
      <c r="B21" s="61"/>
      <c r="C21" s="62"/>
      <c r="D21" s="62"/>
      <c r="E21" s="62"/>
      <c r="F21" s="62"/>
      <c r="G21" s="62"/>
      <c r="R21" s="59"/>
      <c r="S21" s="59"/>
      <c r="T21" s="59"/>
      <c r="U21" s="59"/>
      <c r="V21" s="59"/>
      <c r="W21" s="59"/>
    </row>
    <row r="22" spans="2:28" s="53" customFormat="1" x14ac:dyDescent="0.15">
      <c r="B22" s="61"/>
      <c r="R22" s="63"/>
      <c r="S22" s="63"/>
      <c r="T22" s="63"/>
      <c r="U22" s="63"/>
      <c r="V22" s="63"/>
      <c r="W22" s="63"/>
    </row>
    <row r="23" spans="2:28" s="53" customFormat="1" x14ac:dyDescent="0.15">
      <c r="B23" s="61"/>
      <c r="R23" s="59"/>
      <c r="S23" s="59"/>
      <c r="T23" s="59"/>
      <c r="U23" s="59"/>
      <c r="V23" s="59"/>
      <c r="W23" s="59"/>
    </row>
    <row r="24" spans="2:28" s="53" customFormat="1" x14ac:dyDescent="0.15"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7"/>
    </row>
    <row r="25" spans="2:28" s="53" customFormat="1" x14ac:dyDescent="0.15">
      <c r="B25" s="61"/>
      <c r="C25" s="56"/>
      <c r="D25" s="56"/>
      <c r="E25" s="56"/>
      <c r="F25" s="56"/>
      <c r="G25" s="56"/>
      <c r="H25" s="57"/>
      <c r="I25" s="57"/>
      <c r="L25" s="56"/>
      <c r="M25" s="56"/>
      <c r="T25" s="59"/>
      <c r="U25" s="59"/>
      <c r="V25" s="59"/>
      <c r="W25" s="59"/>
      <c r="X25" s="59"/>
      <c r="Y25" s="59"/>
    </row>
    <row r="26" spans="2:28" s="53" customFormat="1" x14ac:dyDescent="0.15">
      <c r="B26" s="61"/>
      <c r="C26" s="58"/>
      <c r="D26" s="58"/>
      <c r="E26" s="58"/>
      <c r="F26" s="58"/>
      <c r="G26" s="59"/>
      <c r="H26" s="57"/>
      <c r="I26" s="57"/>
      <c r="L26" s="59"/>
      <c r="M26" s="60"/>
      <c r="T26" s="59"/>
      <c r="U26" s="59"/>
      <c r="V26" s="59"/>
      <c r="W26" s="59"/>
      <c r="X26" s="59"/>
      <c r="Y26" s="59"/>
    </row>
    <row r="27" spans="2:28" s="53" customFormat="1" x14ac:dyDescent="0.15">
      <c r="B27" s="61"/>
      <c r="C27" s="58"/>
      <c r="D27" s="58"/>
      <c r="E27" s="58"/>
      <c r="F27" s="58"/>
      <c r="G27" s="59"/>
      <c r="H27" s="62"/>
      <c r="I27" s="62"/>
      <c r="L27" s="59"/>
      <c r="M27" s="60"/>
      <c r="T27" s="59"/>
      <c r="U27" s="59"/>
      <c r="V27" s="59"/>
      <c r="W27" s="59"/>
      <c r="X27" s="59"/>
      <c r="Y27" s="59"/>
    </row>
    <row r="28" spans="2:28" s="53" customFormat="1" x14ac:dyDescent="0.15">
      <c r="B28" s="61"/>
      <c r="C28" s="58"/>
      <c r="D28" s="58"/>
      <c r="E28" s="58"/>
      <c r="F28" s="58"/>
      <c r="G28" s="59"/>
      <c r="H28" s="57"/>
      <c r="I28" s="57"/>
      <c r="L28" s="59"/>
      <c r="M28" s="60"/>
      <c r="T28" s="59"/>
      <c r="U28" s="59"/>
      <c r="V28" s="59"/>
      <c r="W28" s="59"/>
      <c r="X28" s="59"/>
      <c r="Y28" s="59"/>
    </row>
    <row r="29" spans="2:28" s="53" customFormat="1" x14ac:dyDescent="0.15">
      <c r="B29" s="61"/>
      <c r="C29" s="58"/>
      <c r="D29" s="58"/>
      <c r="F29" s="58"/>
      <c r="G29" s="59"/>
      <c r="H29" s="56"/>
      <c r="I29" s="56"/>
      <c r="J29" s="56"/>
      <c r="K29" s="56"/>
      <c r="L29" s="59"/>
      <c r="M29" s="60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7"/>
    </row>
    <row r="30" spans="2:28" s="53" customFormat="1" x14ac:dyDescent="0.15">
      <c r="B30" s="61"/>
      <c r="C30" s="58"/>
      <c r="D30" s="58"/>
      <c r="F30" s="58"/>
      <c r="G30" s="59"/>
      <c r="L30" s="59"/>
      <c r="M30" s="60"/>
      <c r="T30" s="56"/>
      <c r="U30" s="56"/>
      <c r="V30" s="56"/>
      <c r="W30" s="56"/>
      <c r="X30" s="56"/>
      <c r="Y30" s="56"/>
    </row>
    <row r="31" spans="2:28" s="53" customFormat="1" x14ac:dyDescent="0.15">
      <c r="B31" s="61"/>
      <c r="C31" s="58"/>
      <c r="D31" s="58"/>
      <c r="F31" s="58"/>
      <c r="G31" s="59"/>
      <c r="H31" s="57"/>
      <c r="I31" s="57"/>
      <c r="L31" s="59"/>
      <c r="T31" s="59"/>
      <c r="U31" s="59"/>
      <c r="V31" s="59"/>
      <c r="W31" s="59"/>
      <c r="X31" s="59"/>
      <c r="Y31" s="59"/>
    </row>
    <row r="32" spans="2:28" s="53" customFormat="1" x14ac:dyDescent="0.15">
      <c r="B32" s="61"/>
      <c r="R32" s="63"/>
      <c r="S32" s="63"/>
      <c r="T32" s="63"/>
      <c r="U32" s="63"/>
      <c r="V32" s="63"/>
      <c r="W32" s="63"/>
    </row>
    <row r="33" spans="2:30" s="53" customFormat="1" x14ac:dyDescent="0.15"/>
    <row r="34" spans="2:30" s="53" customFormat="1" x14ac:dyDescent="0.15">
      <c r="E34" s="57"/>
      <c r="F34" s="57"/>
      <c r="J34" s="60"/>
    </row>
    <row r="35" spans="2:30" s="53" customFormat="1" x14ac:dyDescent="0.15">
      <c r="B35" s="61"/>
      <c r="E35" s="59"/>
      <c r="F35" s="60"/>
      <c r="G35" s="57"/>
      <c r="H35" s="60"/>
      <c r="I35" s="60"/>
    </row>
    <row r="36" spans="2:30" s="53" customFormat="1" x14ac:dyDescent="0.15">
      <c r="B36" s="61"/>
      <c r="E36" s="63"/>
      <c r="F36" s="60"/>
      <c r="J36" s="60"/>
    </row>
    <row r="37" spans="2:30" s="53" customFormat="1" x14ac:dyDescent="0.15">
      <c r="B37" s="61"/>
      <c r="E37" s="59"/>
      <c r="F37" s="60"/>
      <c r="G37" s="57"/>
      <c r="H37" s="60"/>
      <c r="I37" s="60"/>
      <c r="J37" s="60"/>
    </row>
    <row r="38" spans="2:30" s="53" customFormat="1" x14ac:dyDescent="0.15">
      <c r="B38" s="61"/>
      <c r="C38" s="73"/>
      <c r="E38" s="59"/>
      <c r="F38" s="60"/>
      <c r="G38" s="57"/>
      <c r="H38" s="60"/>
      <c r="I38" s="60"/>
    </row>
    <row r="39" spans="2:30" s="53" customFormat="1" x14ac:dyDescent="0.15">
      <c r="B39" s="61"/>
      <c r="E39" s="59"/>
      <c r="F39" s="60"/>
      <c r="G39" s="62"/>
    </row>
    <row r="40" spans="2:30" s="53" customFormat="1" x14ac:dyDescent="0.15">
      <c r="B40" s="61"/>
      <c r="E40" s="59"/>
      <c r="F40" s="60"/>
    </row>
    <row r="41" spans="2:30" s="53" customFormat="1" x14ac:dyDescent="0.15">
      <c r="B41" s="61"/>
      <c r="E41" s="59"/>
      <c r="F41" s="58"/>
    </row>
    <row r="42" spans="2:30" s="53" customFormat="1" x14ac:dyDescent="0.15"/>
    <row r="43" spans="2:30" s="53" customFormat="1" x14ac:dyDescent="0.15"/>
    <row r="44" spans="2:30" s="53" customFormat="1" x14ac:dyDescent="0.15">
      <c r="J44" s="56"/>
      <c r="K44" s="56"/>
      <c r="L44" s="56"/>
    </row>
    <row r="45" spans="2:30" s="53" customFormat="1" x14ac:dyDescent="0.15">
      <c r="B45" s="56"/>
      <c r="C45" s="56"/>
      <c r="D45" s="56"/>
      <c r="E45" s="56"/>
      <c r="F45" s="56"/>
      <c r="G45" s="56"/>
      <c r="H45" s="56"/>
      <c r="I45" s="56"/>
      <c r="J45" s="58"/>
      <c r="K45" s="58"/>
      <c r="L45" s="58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7"/>
      <c r="Z45" s="57"/>
    </row>
    <row r="46" spans="2:30" s="53" customFormat="1" x14ac:dyDescent="0.15">
      <c r="B46" s="61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9"/>
      <c r="U46" s="59"/>
      <c r="V46" s="59"/>
      <c r="W46" s="59"/>
      <c r="X46" s="59"/>
      <c r="Y46" s="59"/>
      <c r="Z46" s="60"/>
      <c r="AA46" s="57"/>
      <c r="AB46" s="60"/>
      <c r="AC46" s="60"/>
      <c r="AD46" s="61"/>
    </row>
    <row r="47" spans="2:30" s="53" customFormat="1" x14ac:dyDescent="0.15">
      <c r="B47" s="61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63"/>
      <c r="U47" s="63"/>
      <c r="V47" s="63"/>
      <c r="W47" s="63"/>
      <c r="X47" s="63"/>
      <c r="Y47" s="63"/>
      <c r="Z47" s="60"/>
      <c r="AD47" s="61"/>
    </row>
    <row r="48" spans="2:30" s="53" customFormat="1" x14ac:dyDescent="0.15">
      <c r="B48" s="61"/>
      <c r="C48" s="58"/>
      <c r="D48" s="58"/>
      <c r="E48" s="58"/>
      <c r="F48" s="58"/>
      <c r="G48" s="57"/>
      <c r="H48" s="57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9"/>
      <c r="U48" s="59"/>
      <c r="V48" s="59"/>
      <c r="W48" s="59"/>
      <c r="X48" s="59"/>
      <c r="Y48" s="59"/>
      <c r="Z48" s="60"/>
      <c r="AD48" s="61"/>
    </row>
    <row r="49" spans="2:30" s="53" customFormat="1" x14ac:dyDescent="0.15">
      <c r="B49" s="61"/>
      <c r="C49" s="58"/>
      <c r="D49" s="58"/>
      <c r="E49" s="58"/>
      <c r="F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9"/>
      <c r="U49" s="59"/>
      <c r="V49" s="59"/>
      <c r="W49" s="59"/>
      <c r="X49" s="59"/>
      <c r="Y49" s="59"/>
      <c r="Z49" s="60"/>
      <c r="AA49" s="62"/>
      <c r="AD49" s="61"/>
    </row>
    <row r="50" spans="2:30" s="53" customFormat="1" x14ac:dyDescent="0.15">
      <c r="B50" s="61"/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9"/>
      <c r="U50" s="59"/>
      <c r="V50" s="59"/>
      <c r="W50" s="59"/>
      <c r="X50" s="59"/>
      <c r="Y50" s="59"/>
      <c r="Z50" s="60"/>
      <c r="AA50" s="57"/>
      <c r="AB50" s="60"/>
      <c r="AC50" s="60"/>
      <c r="AD50" s="61"/>
    </row>
    <row r="51" spans="2:30" s="53" customFormat="1" x14ac:dyDescent="0.15">
      <c r="B51" s="61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9"/>
      <c r="U51" s="59"/>
      <c r="V51" s="59"/>
      <c r="Y51" s="59"/>
      <c r="Z51" s="60"/>
      <c r="AA51" s="57"/>
      <c r="AB51" s="60"/>
      <c r="AC51" s="60"/>
      <c r="AD51" s="61"/>
    </row>
    <row r="52" spans="2:30" s="53" customFormat="1" x14ac:dyDescent="0.15">
      <c r="B52" s="61"/>
      <c r="C52" s="58"/>
      <c r="D52" s="58"/>
      <c r="E52" s="58"/>
      <c r="F52" s="58"/>
      <c r="I52" s="58"/>
      <c r="M52" s="58"/>
      <c r="N52" s="58"/>
      <c r="O52" s="58"/>
      <c r="P52" s="58"/>
      <c r="Q52" s="58"/>
      <c r="R52" s="58"/>
      <c r="S52" s="58"/>
      <c r="T52" s="59"/>
      <c r="U52" s="59"/>
      <c r="V52" s="59"/>
      <c r="W52" s="59"/>
      <c r="X52" s="59"/>
      <c r="Y52" s="59"/>
      <c r="Z52" s="58"/>
      <c r="AD52" s="61"/>
    </row>
    <row r="53" spans="2:30" s="53" customFormat="1" x14ac:dyDescent="0.15">
      <c r="E53" s="58"/>
    </row>
  </sheetData>
  <mergeCells count="1">
    <mergeCell ref="C1:J1"/>
  </mergeCell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4:Q63"/>
  <sheetViews>
    <sheetView workbookViewId="0">
      <selection activeCell="C17" sqref="C17"/>
    </sheetView>
  </sheetViews>
  <sheetFormatPr baseColWidth="10" defaultColWidth="8.83203125" defaultRowHeight="15" x14ac:dyDescent="0.2"/>
  <sheetData>
    <row r="4" spans="1:17" x14ac:dyDescent="0.2">
      <c r="B4" s="7"/>
      <c r="C4" s="7"/>
      <c r="D4" s="7"/>
      <c r="E4" s="7"/>
      <c r="F4" s="7"/>
      <c r="G4" s="7"/>
      <c r="H4" s="7"/>
      <c r="J4" t="s">
        <v>30</v>
      </c>
      <c r="K4" t="s">
        <v>25</v>
      </c>
      <c r="L4" s="7" t="s">
        <v>27</v>
      </c>
      <c r="M4" s="7" t="s">
        <v>26</v>
      </c>
      <c r="N4" s="7" t="s">
        <v>29</v>
      </c>
      <c r="O4" s="7" t="s">
        <v>28</v>
      </c>
      <c r="P4" s="7" t="s">
        <v>47</v>
      </c>
    </row>
    <row r="5" spans="1:17" x14ac:dyDescent="0.2">
      <c r="B5" s="7"/>
      <c r="C5" s="7"/>
      <c r="D5" s="7"/>
      <c r="E5" s="7"/>
      <c r="F5" s="7"/>
      <c r="G5" s="7"/>
      <c r="H5" s="7"/>
      <c r="J5" s="7">
        <v>-0.20111000000000001</v>
      </c>
      <c r="K5" s="7"/>
    </row>
    <row r="6" spans="1:17" x14ac:dyDescent="0.2">
      <c r="B6" s="7"/>
      <c r="C6" s="7" t="s">
        <v>51</v>
      </c>
      <c r="D6" s="7"/>
      <c r="E6" s="7"/>
      <c r="F6" s="7"/>
      <c r="G6" s="7"/>
      <c r="H6" s="7"/>
      <c r="J6" s="7">
        <v>-0.35</v>
      </c>
    </row>
    <row r="7" spans="1:17" x14ac:dyDescent="0.2">
      <c r="B7" t="s">
        <v>0</v>
      </c>
      <c r="C7" t="s">
        <v>1</v>
      </c>
      <c r="D7" s="7"/>
      <c r="E7" s="7"/>
      <c r="F7" s="7"/>
      <c r="G7" s="7"/>
      <c r="H7" s="7"/>
      <c r="J7" s="7">
        <v>-0.41916999999999999</v>
      </c>
      <c r="K7" s="14">
        <v>-0.39668766666666699</v>
      </c>
    </row>
    <row r="8" spans="1:17" x14ac:dyDescent="0.2">
      <c r="C8" t="s">
        <v>2</v>
      </c>
      <c r="D8" s="7"/>
      <c r="E8" s="7"/>
      <c r="F8" s="7"/>
      <c r="G8" s="7"/>
      <c r="H8" s="7"/>
      <c r="J8" s="2">
        <v>-0.48243000000000003</v>
      </c>
      <c r="L8" s="7">
        <v>-0.48</v>
      </c>
    </row>
    <row r="9" spans="1:17" x14ac:dyDescent="0.2">
      <c r="A9" t="s">
        <v>25</v>
      </c>
      <c r="B9" s="16">
        <v>-0.38</v>
      </c>
      <c r="C9" s="40">
        <v>-2.8288000000000004E-2</v>
      </c>
      <c r="D9" s="7"/>
      <c r="E9" s="7"/>
      <c r="F9" s="7"/>
      <c r="G9" s="7"/>
      <c r="H9" s="7"/>
      <c r="J9" s="7">
        <v>-0.54198000000000002</v>
      </c>
      <c r="K9" s="14">
        <v>-0.54270750000000001</v>
      </c>
    </row>
    <row r="10" spans="1:17" x14ac:dyDescent="0.2">
      <c r="A10" t="s">
        <v>26</v>
      </c>
      <c r="B10" s="16">
        <v>-0.67411291655548189</v>
      </c>
      <c r="C10" s="51">
        <v>-3.1188488198346499E-2</v>
      </c>
      <c r="D10" s="7"/>
      <c r="E10" s="7"/>
      <c r="F10" s="7"/>
      <c r="G10" s="7"/>
      <c r="H10" s="7"/>
      <c r="J10" s="7">
        <v>-0.58291000000000004</v>
      </c>
      <c r="K10" s="7"/>
      <c r="L10" s="7">
        <v>-0.56999999999999995</v>
      </c>
      <c r="M10" s="7">
        <v>-0.59993749830553478</v>
      </c>
    </row>
    <row r="11" spans="1:17" x14ac:dyDescent="0.2">
      <c r="A11" t="s">
        <v>27</v>
      </c>
      <c r="B11" s="17">
        <v>-0.82</v>
      </c>
      <c r="C11" s="51">
        <v>-3.79195872E-2</v>
      </c>
      <c r="D11" s="7"/>
      <c r="E11" s="7"/>
      <c r="F11" s="7"/>
      <c r="G11" s="7"/>
      <c r="H11" s="7"/>
      <c r="J11" s="24">
        <v>-0.62629000000000001</v>
      </c>
      <c r="K11" s="22">
        <v>-0.67633333333333301</v>
      </c>
      <c r="L11" s="21">
        <v>-0.67</v>
      </c>
      <c r="M11" s="21">
        <v>-0.67411291655548189</v>
      </c>
      <c r="N11" s="21">
        <v>-0.650111623505787</v>
      </c>
      <c r="O11" s="21">
        <v>-0.67218</v>
      </c>
      <c r="Q11" s="7" t="s">
        <v>84</v>
      </c>
    </row>
    <row r="12" spans="1:17" x14ac:dyDescent="0.2">
      <c r="A12" t="s">
        <v>28</v>
      </c>
      <c r="B12" s="16">
        <v>-0.67218</v>
      </c>
      <c r="C12" s="51">
        <v>-0.10653136829999998</v>
      </c>
      <c r="D12" s="7"/>
      <c r="E12" s="7"/>
      <c r="F12" s="7"/>
      <c r="G12" s="7"/>
      <c r="H12" s="7"/>
      <c r="K12" s="7"/>
      <c r="L12" s="7">
        <v>-0.75</v>
      </c>
      <c r="M12" s="7">
        <v>-0.74706213522329223</v>
      </c>
      <c r="N12" s="7">
        <v>-0.74788236064250124</v>
      </c>
      <c r="O12" s="7">
        <v>-0.74560999999999999</v>
      </c>
      <c r="P12" s="24">
        <v>-0.74914000000000003</v>
      </c>
    </row>
    <row r="13" spans="1:17" x14ac:dyDescent="0.2">
      <c r="A13" t="s">
        <v>29</v>
      </c>
      <c r="B13" s="16">
        <v>-0.8900284901761748</v>
      </c>
      <c r="C13" s="51">
        <v>-1.9625179800185091E-2</v>
      </c>
      <c r="D13" s="7"/>
      <c r="E13" s="7"/>
      <c r="F13" s="7"/>
      <c r="G13" s="7"/>
      <c r="H13" s="7"/>
      <c r="K13" s="25">
        <v>-0.82233333333333303</v>
      </c>
      <c r="L13" s="24">
        <v>-0.82</v>
      </c>
      <c r="M13" s="24">
        <v>-0.82123017286296229</v>
      </c>
      <c r="N13" s="24">
        <v>-0.82032941357880551</v>
      </c>
      <c r="O13" s="24">
        <v>-0.81723999999999997</v>
      </c>
    </row>
    <row r="14" spans="1:17" x14ac:dyDescent="0.2">
      <c r="A14" t="s">
        <v>47</v>
      </c>
      <c r="B14" s="16">
        <v>-0.74914000000000003</v>
      </c>
      <c r="C14" s="51">
        <v>-3.3320000000000002E-2</v>
      </c>
      <c r="D14" s="7"/>
      <c r="E14" s="7"/>
      <c r="F14" s="7"/>
      <c r="G14" s="7"/>
      <c r="H14" s="7"/>
      <c r="K14" s="7"/>
      <c r="L14" s="7">
        <v>-0.9</v>
      </c>
      <c r="M14" s="7">
        <v>-0.89159784357512906</v>
      </c>
      <c r="N14" s="7">
        <v>-0.8900284901761748</v>
      </c>
      <c r="O14" s="7">
        <v>-0.88722000000000001</v>
      </c>
      <c r="P14" s="7">
        <v>-0.89629000000000003</v>
      </c>
    </row>
    <row r="15" spans="1:17" x14ac:dyDescent="0.2">
      <c r="A15" t="s">
        <v>30</v>
      </c>
      <c r="B15" s="16">
        <v>-0.62629000000000001</v>
      </c>
      <c r="C15" s="51">
        <v>3.7232299999999999E-5</v>
      </c>
      <c r="D15" s="7"/>
      <c r="E15" s="7"/>
      <c r="F15" s="7"/>
      <c r="G15" s="7"/>
      <c r="H15" s="7"/>
      <c r="K15" s="14">
        <v>-0.96350000000000002</v>
      </c>
      <c r="M15" s="2">
        <v>-0.953201689806917</v>
      </c>
      <c r="N15" s="7">
        <v>-0.94823747182552776</v>
      </c>
      <c r="O15" s="7">
        <v>-0.95526</v>
      </c>
    </row>
    <row r="16" spans="1:17" x14ac:dyDescent="0.2">
      <c r="B16" s="7"/>
      <c r="C16" s="7"/>
      <c r="D16" s="7"/>
      <c r="E16" s="7"/>
      <c r="F16" s="7"/>
      <c r="G16" s="7"/>
      <c r="H16" s="7"/>
      <c r="K16" s="14">
        <v>-1.004</v>
      </c>
      <c r="N16" s="7">
        <v>-1.0025725197957018</v>
      </c>
      <c r="O16" s="7">
        <v>-1.0129699999999999</v>
      </c>
    </row>
    <row r="17" spans="1:16" x14ac:dyDescent="0.2">
      <c r="B17" s="7" t="s">
        <v>85</v>
      </c>
      <c r="C17" s="7"/>
      <c r="D17" s="7" t="s">
        <v>85</v>
      </c>
      <c r="E17" s="7"/>
      <c r="F17" s="7" t="s">
        <v>85</v>
      </c>
      <c r="G17" s="7"/>
      <c r="H17" s="7"/>
      <c r="K17" s="7"/>
      <c r="M17" s="7">
        <v>-1.0211944576745053</v>
      </c>
      <c r="N17" s="2">
        <v>-1.0414620738888716</v>
      </c>
      <c r="O17" s="2">
        <v>-1.0543899999999999</v>
      </c>
      <c r="P17" s="7">
        <v>-1.04098</v>
      </c>
    </row>
    <row r="18" spans="1:16" x14ac:dyDescent="0.2">
      <c r="A18" t="s">
        <v>25</v>
      </c>
      <c r="B18" s="21">
        <v>-0.68</v>
      </c>
      <c r="C18" s="21">
        <v>-3.2918726666666638</v>
      </c>
      <c r="D18" s="24">
        <v>-0.82</v>
      </c>
      <c r="E18" s="24">
        <v>-3.473341555555558</v>
      </c>
      <c r="F18" s="7"/>
      <c r="G18" s="7"/>
      <c r="H18" s="7"/>
      <c r="K18" s="14">
        <v>-1.1163333333333301</v>
      </c>
      <c r="M18" s="7">
        <v>-1.086976452801897</v>
      </c>
      <c r="O18" s="7">
        <v>-1.09361</v>
      </c>
    </row>
    <row r="19" spans="1:16" x14ac:dyDescent="0.2">
      <c r="A19" t="s">
        <v>26</v>
      </c>
      <c r="B19" s="21">
        <v>-0.67</v>
      </c>
      <c r="C19" s="21">
        <v>-3.1188488198346506E-2</v>
      </c>
      <c r="D19" s="24">
        <v>-0.82</v>
      </c>
      <c r="E19" s="24">
        <v>-0.3199043256835889</v>
      </c>
      <c r="G19" s="7"/>
      <c r="K19" s="14">
        <v>-1.13375</v>
      </c>
      <c r="M19" s="7">
        <v>-1.1562024391289032</v>
      </c>
      <c r="O19" s="7">
        <v>-1.13811</v>
      </c>
    </row>
    <row r="20" spans="1:16" x14ac:dyDescent="0.2">
      <c r="A20" t="s">
        <v>27</v>
      </c>
      <c r="B20" s="21">
        <v>-0.67</v>
      </c>
      <c r="C20" s="21">
        <v>-3.1447020000000001E-3</v>
      </c>
      <c r="D20" s="24">
        <v>-0.82</v>
      </c>
      <c r="E20" s="24">
        <v>-3.79195872E-2</v>
      </c>
      <c r="G20" s="7"/>
      <c r="M20" s="7">
        <v>-1.2273882381940175</v>
      </c>
      <c r="O20" s="7">
        <v>-1.16953</v>
      </c>
      <c r="P20" s="2">
        <v>-1.1761900000000001</v>
      </c>
    </row>
    <row r="21" spans="1:16" x14ac:dyDescent="0.2">
      <c r="A21" t="s">
        <v>28</v>
      </c>
      <c r="B21" s="21">
        <v>-0.67</v>
      </c>
      <c r="C21" s="21">
        <v>-0.10653136829999998</v>
      </c>
      <c r="D21" s="24">
        <v>-0.82</v>
      </c>
      <c r="E21">
        <v>-0.27736689529999997</v>
      </c>
      <c r="G21" s="7"/>
      <c r="M21" s="7">
        <v>-1.2935274605668976</v>
      </c>
      <c r="P21" s="7">
        <v>-1.31267</v>
      </c>
    </row>
    <row r="22" spans="1:16" x14ac:dyDescent="0.2">
      <c r="A22" t="s">
        <v>29</v>
      </c>
      <c r="B22" s="21">
        <v>-0.65</v>
      </c>
      <c r="C22" s="21">
        <v>0</v>
      </c>
      <c r="D22" s="24">
        <v>-0.82</v>
      </c>
      <c r="E22">
        <v>-6.6860011739166055E-3</v>
      </c>
      <c r="G22" s="7"/>
      <c r="M22" s="7">
        <v>-1.3448957565705235</v>
      </c>
    </row>
    <row r="23" spans="1:16" x14ac:dyDescent="0.2">
      <c r="A23" t="s">
        <v>47</v>
      </c>
      <c r="B23" s="21">
        <v>-0.75</v>
      </c>
      <c r="C23" s="21">
        <v>-3.3320000000000002E-2</v>
      </c>
      <c r="D23" s="24">
        <v>-0.75</v>
      </c>
      <c r="E23" s="21">
        <v>-3.3320000000000002E-2</v>
      </c>
      <c r="F23" s="21">
        <v>-0.89</v>
      </c>
      <c r="G23" s="7">
        <v>-0.1469</v>
      </c>
      <c r="M23">
        <v>-1.4189134807034951</v>
      </c>
      <c r="P23" s="7">
        <v>-1.4414</v>
      </c>
    </row>
    <row r="24" spans="1:16" x14ac:dyDescent="0.2">
      <c r="A24" t="s">
        <v>30</v>
      </c>
      <c r="B24" s="21">
        <v>-0.63</v>
      </c>
      <c r="C24" s="23">
        <v>-3.7232447616000003E-5</v>
      </c>
      <c r="D24" s="24">
        <v>-0.63</v>
      </c>
      <c r="E24" s="23">
        <v>-3.7232447616000003E-5</v>
      </c>
      <c r="G24" s="14"/>
      <c r="P24" s="7">
        <v>-1.5573399999999999</v>
      </c>
    </row>
    <row r="32" spans="1:16" x14ac:dyDescent="0.2">
      <c r="B32" s="7"/>
      <c r="C32" s="7" t="s">
        <v>0</v>
      </c>
      <c r="D32" s="7" t="s">
        <v>65</v>
      </c>
      <c r="E32" s="7" t="s">
        <v>46</v>
      </c>
      <c r="F32" s="7" t="s">
        <v>41</v>
      </c>
      <c r="G32" s="7" t="s">
        <v>82</v>
      </c>
      <c r="H32" s="7" t="s">
        <v>42</v>
      </c>
      <c r="I32" s="7" t="s">
        <v>5</v>
      </c>
      <c r="J32" s="7" t="s">
        <v>40</v>
      </c>
      <c r="K32" s="7" t="s">
        <v>44</v>
      </c>
      <c r="L32" s="7" t="s">
        <v>83</v>
      </c>
    </row>
    <row r="33" spans="2:13" x14ac:dyDescent="0.2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</row>
    <row r="34" spans="2:13" x14ac:dyDescent="0.2">
      <c r="B34" s="7" t="s">
        <v>25</v>
      </c>
      <c r="C34" s="17">
        <v>-0.7387999999999999</v>
      </c>
      <c r="D34" s="18">
        <v>-5</v>
      </c>
      <c r="E34" s="18"/>
      <c r="F34" s="18"/>
      <c r="G34" s="18"/>
      <c r="H34" s="18"/>
      <c r="I34" s="18">
        <v>87.1</v>
      </c>
      <c r="J34" s="18">
        <v>0.7</v>
      </c>
      <c r="K34" s="18">
        <v>10.199999999999999</v>
      </c>
      <c r="L34" s="18">
        <v>98</v>
      </c>
      <c r="M34" s="15"/>
    </row>
    <row r="35" spans="2:13" x14ac:dyDescent="0.2">
      <c r="B35" s="7"/>
      <c r="C35" s="19">
        <v>-0.67633333333333301</v>
      </c>
      <c r="D35" s="20">
        <v>-3.39333333333333</v>
      </c>
      <c r="E35" s="18"/>
      <c r="F35" s="18"/>
      <c r="G35" s="18"/>
      <c r="H35" s="18"/>
      <c r="I35" s="18">
        <v>97</v>
      </c>
      <c r="J35" s="18">
        <v>0.4</v>
      </c>
      <c r="K35" s="18">
        <v>3</v>
      </c>
      <c r="L35" s="18">
        <f>SUM(E35:K35)</f>
        <v>100.4</v>
      </c>
      <c r="M35" s="15"/>
    </row>
    <row r="36" spans="2:13" x14ac:dyDescent="0.2">
      <c r="B36" s="7"/>
      <c r="C36" s="19">
        <v>-0.82233333333333303</v>
      </c>
      <c r="D36" s="20">
        <v>-4.6966666666666699</v>
      </c>
      <c r="E36" s="18"/>
      <c r="F36" s="18"/>
      <c r="G36" s="18"/>
      <c r="H36" s="18"/>
      <c r="I36" s="18">
        <v>73.8</v>
      </c>
      <c r="J36" s="18">
        <v>0.1</v>
      </c>
      <c r="K36" s="18">
        <v>10.5</v>
      </c>
      <c r="L36" s="18">
        <f>SUM(E36:K36)</f>
        <v>84.399999999999991</v>
      </c>
      <c r="M36" s="15"/>
    </row>
    <row r="37" spans="2:13" x14ac:dyDescent="0.2">
      <c r="B37" s="7"/>
      <c r="C37" s="19">
        <v>-0.96350000000000002</v>
      </c>
      <c r="D37" s="20">
        <v>-7.17</v>
      </c>
      <c r="E37" s="18"/>
      <c r="F37" s="18">
        <v>0.2</v>
      </c>
      <c r="G37" s="18"/>
      <c r="H37" s="18"/>
      <c r="I37" s="18">
        <v>66.400000000000006</v>
      </c>
      <c r="J37" s="18">
        <v>1.6</v>
      </c>
      <c r="K37" s="18">
        <v>24</v>
      </c>
      <c r="L37" s="18">
        <f>SUM(E37:K37)</f>
        <v>92.2</v>
      </c>
      <c r="M37" s="15"/>
    </row>
    <row r="38" spans="2:13" x14ac:dyDescent="0.2">
      <c r="B38" s="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5"/>
    </row>
    <row r="39" spans="2:13" x14ac:dyDescent="0.2">
      <c r="B39" s="7" t="s">
        <v>26</v>
      </c>
      <c r="C39" s="17">
        <v>-0.96880000000000011</v>
      </c>
      <c r="D39" s="18">
        <v>-5</v>
      </c>
      <c r="E39" s="18"/>
      <c r="F39" s="18"/>
      <c r="G39" s="18"/>
      <c r="H39" s="18"/>
      <c r="I39" s="18">
        <v>81.5</v>
      </c>
      <c r="J39" s="18">
        <v>0.8</v>
      </c>
      <c r="K39" s="18">
        <v>12.4</v>
      </c>
      <c r="L39" s="18">
        <v>94.6</v>
      </c>
      <c r="M39" s="15"/>
    </row>
    <row r="40" spans="2:13" x14ac:dyDescent="0.2">
      <c r="B40" s="7"/>
      <c r="C40" s="17">
        <v>-0.953201689806917</v>
      </c>
      <c r="D40" s="18">
        <v>-2.6864793706130281</v>
      </c>
      <c r="E40" s="17"/>
      <c r="F40" s="17"/>
      <c r="G40" s="17"/>
      <c r="H40" s="17"/>
      <c r="I40" s="18">
        <v>79.8</v>
      </c>
      <c r="J40" s="18">
        <v>1.2</v>
      </c>
      <c r="K40" s="18">
        <v>20.7</v>
      </c>
      <c r="L40" s="18">
        <f>SUM(E40:K40)</f>
        <v>101.7</v>
      </c>
      <c r="M40" s="15"/>
    </row>
    <row r="41" spans="2:13" x14ac:dyDescent="0.2">
      <c r="B41" s="7"/>
      <c r="C41" s="17">
        <v>-1.086976452801897</v>
      </c>
      <c r="D41" s="18">
        <v>-5.1246947319290355</v>
      </c>
      <c r="E41" s="17"/>
      <c r="F41" s="17"/>
      <c r="G41" s="17"/>
      <c r="H41" s="17"/>
      <c r="I41" s="18">
        <v>89.3</v>
      </c>
      <c r="J41" s="18">
        <v>2.6</v>
      </c>
      <c r="K41" s="18">
        <v>12.6</v>
      </c>
      <c r="L41" s="18">
        <f>SUM(E41:K41)</f>
        <v>104.49999999999999</v>
      </c>
      <c r="M41" s="15"/>
    </row>
    <row r="42" spans="2:13" x14ac:dyDescent="0.2">
      <c r="B42" s="7"/>
      <c r="C42" s="17">
        <v>-1.3505734374665472</v>
      </c>
      <c r="D42" s="18">
        <v>-8.9981241916139982</v>
      </c>
      <c r="E42" s="17">
        <v>7.0000000000000007E-2</v>
      </c>
      <c r="F42" s="17">
        <v>0.01</v>
      </c>
      <c r="G42" s="17"/>
      <c r="H42" s="17">
        <v>7.0000000000000007E-2</v>
      </c>
      <c r="I42" s="18">
        <v>39.700000000000003</v>
      </c>
      <c r="J42" s="18">
        <v>6.8</v>
      </c>
      <c r="K42" s="18">
        <v>55.8</v>
      </c>
      <c r="L42" s="18">
        <f>SUM(E42:K42)</f>
        <v>102.44999999999999</v>
      </c>
      <c r="M42" s="15"/>
    </row>
    <row r="43" spans="2:13" x14ac:dyDescent="0.2">
      <c r="B43" s="7"/>
      <c r="C43" s="17"/>
      <c r="D43" s="18"/>
      <c r="E43" s="18"/>
      <c r="F43" s="18"/>
      <c r="G43" s="18"/>
      <c r="H43" s="18"/>
      <c r="I43" s="18"/>
      <c r="J43" s="18"/>
      <c r="K43" s="18"/>
      <c r="L43" s="18"/>
      <c r="M43" s="15"/>
    </row>
    <row r="44" spans="2:13" x14ac:dyDescent="0.2">
      <c r="B44" s="7" t="s">
        <v>47</v>
      </c>
      <c r="C44" s="17">
        <v>-1.1388</v>
      </c>
      <c r="D44" s="18">
        <v>-5</v>
      </c>
      <c r="E44" s="18"/>
      <c r="F44" s="18"/>
      <c r="G44" s="18"/>
      <c r="H44" s="18"/>
      <c r="I44" s="18">
        <v>79.400000000000006</v>
      </c>
      <c r="J44" s="18">
        <v>6.1</v>
      </c>
      <c r="K44" s="18">
        <v>9.9</v>
      </c>
      <c r="L44" s="18">
        <v>95.4</v>
      </c>
      <c r="M44" s="15"/>
    </row>
    <row r="45" spans="2:13" x14ac:dyDescent="0.2">
      <c r="B45" s="7"/>
      <c r="C45" s="17">
        <v>-1.1761900000000001</v>
      </c>
      <c r="D45" s="18">
        <v>-2.5857899999999998</v>
      </c>
      <c r="E45" s="17">
        <v>6.0320100000000001E-2</v>
      </c>
      <c r="F45" s="17"/>
      <c r="G45" s="18"/>
      <c r="H45" s="18"/>
      <c r="I45" s="18">
        <v>64</v>
      </c>
      <c r="J45" s="18">
        <v>15.1</v>
      </c>
      <c r="K45" s="18">
        <v>14.2</v>
      </c>
      <c r="L45" s="18">
        <f>SUM(E45:K45)</f>
        <v>93.360320099999996</v>
      </c>
      <c r="M45" s="15"/>
    </row>
    <row r="46" spans="2:13" x14ac:dyDescent="0.2">
      <c r="B46" s="7"/>
      <c r="C46" s="17">
        <v>-1.31267</v>
      </c>
      <c r="D46" s="18">
        <v>-4.68581</v>
      </c>
      <c r="E46" s="18">
        <v>0.25</v>
      </c>
      <c r="F46" s="17">
        <v>3.6670700000000001E-2</v>
      </c>
      <c r="G46" s="18"/>
      <c r="H46" s="18"/>
      <c r="I46" s="18">
        <v>68.099999999999994</v>
      </c>
      <c r="J46" s="18">
        <v>14.3</v>
      </c>
      <c r="K46" s="18">
        <v>24.3</v>
      </c>
      <c r="L46" s="18">
        <f>SUM(E46:K46)</f>
        <v>106.98667069999999</v>
      </c>
      <c r="M46" s="15"/>
    </row>
    <row r="47" spans="2:13" x14ac:dyDescent="0.2">
      <c r="B47" s="7"/>
      <c r="C47" s="17"/>
      <c r="D47" s="18"/>
      <c r="E47" s="18"/>
      <c r="F47" s="18"/>
      <c r="G47" s="18"/>
      <c r="H47" s="18"/>
      <c r="I47" s="18"/>
      <c r="J47" s="18"/>
      <c r="K47" s="18"/>
      <c r="L47" s="18"/>
      <c r="M47" s="15"/>
    </row>
    <row r="48" spans="2:13" x14ac:dyDescent="0.2">
      <c r="B48" s="7" t="s">
        <v>28</v>
      </c>
      <c r="C48" s="17">
        <v>-1.0387999999999999</v>
      </c>
      <c r="D48" s="18">
        <v>-5</v>
      </c>
      <c r="E48" s="18">
        <v>33.299999999999997</v>
      </c>
      <c r="F48" s="18"/>
      <c r="G48" s="18">
        <v>25.5</v>
      </c>
      <c r="H48" s="18">
        <v>5.7</v>
      </c>
      <c r="I48" s="18">
        <v>1.3</v>
      </c>
      <c r="J48" s="18">
        <v>9.4</v>
      </c>
      <c r="K48" s="18">
        <v>20.5</v>
      </c>
      <c r="L48" s="18">
        <v>103.5</v>
      </c>
      <c r="M48" s="15"/>
    </row>
    <row r="49" spans="2:15" x14ac:dyDescent="0.2">
      <c r="B49" s="7"/>
      <c r="C49" s="17">
        <v>-1.0543899999999999</v>
      </c>
      <c r="D49" s="18">
        <v>-5.9097499999999998</v>
      </c>
      <c r="E49" s="18">
        <v>24.4</v>
      </c>
      <c r="F49" s="17">
        <v>1.9321899999999999E-2</v>
      </c>
      <c r="G49" s="18">
        <v>26</v>
      </c>
      <c r="H49" s="18">
        <v>9.6999999999999993</v>
      </c>
      <c r="I49" s="18">
        <v>1.1000000000000001</v>
      </c>
      <c r="J49" s="18">
        <v>2</v>
      </c>
      <c r="K49" s="18">
        <v>22.6</v>
      </c>
      <c r="L49" s="18">
        <f>SUM(E49:K49)</f>
        <v>85.819321900000006</v>
      </c>
      <c r="M49" s="15"/>
    </row>
    <row r="50" spans="2:15" x14ac:dyDescent="0.2">
      <c r="B50" s="7"/>
      <c r="C50" s="17"/>
      <c r="D50" s="18"/>
      <c r="E50" s="7"/>
      <c r="F50" s="7"/>
      <c r="G50" s="7"/>
      <c r="H50" s="7"/>
      <c r="I50" s="7"/>
      <c r="J50" s="7"/>
      <c r="K50" s="7"/>
      <c r="L50" s="7"/>
      <c r="M50" s="15"/>
    </row>
    <row r="51" spans="2:15" x14ac:dyDescent="0.2">
      <c r="B51" s="7" t="s">
        <v>29</v>
      </c>
      <c r="C51" s="17">
        <v>-1.0788</v>
      </c>
      <c r="D51" s="18">
        <v>-5</v>
      </c>
      <c r="E51" s="18">
        <v>1.8</v>
      </c>
      <c r="F51" s="18"/>
      <c r="G51" s="18">
        <v>0.1</v>
      </c>
      <c r="H51" s="18"/>
      <c r="I51" s="18"/>
      <c r="J51" s="18">
        <v>1.4</v>
      </c>
      <c r="K51" s="18">
        <v>88.9</v>
      </c>
      <c r="L51" s="18">
        <v>92.4</v>
      </c>
      <c r="M51" s="15"/>
    </row>
    <row r="52" spans="2:15" x14ac:dyDescent="0.2">
      <c r="B52" s="7"/>
      <c r="C52" s="17">
        <v>-1.0025725197957018</v>
      </c>
      <c r="D52" s="18">
        <v>-4.9464982023008002</v>
      </c>
      <c r="E52" s="18">
        <v>0.5</v>
      </c>
      <c r="F52" s="18">
        <v>2.2999999999999998</v>
      </c>
      <c r="G52" s="17">
        <v>0.05</v>
      </c>
      <c r="H52" s="18"/>
      <c r="I52" s="18"/>
      <c r="J52" s="17">
        <v>0.06</v>
      </c>
      <c r="K52" s="18">
        <v>106.4</v>
      </c>
      <c r="L52" s="18">
        <f>SUM(E52:K52)</f>
        <v>109.31</v>
      </c>
      <c r="M52" s="15"/>
    </row>
    <row r="53" spans="2:15" x14ac:dyDescent="0.2">
      <c r="B53" s="7"/>
      <c r="C53" s="17">
        <v>-1.0355156378297674</v>
      </c>
      <c r="D53" s="18">
        <v>-10.765657081944717</v>
      </c>
      <c r="E53" s="18">
        <v>0.12</v>
      </c>
      <c r="F53" s="18">
        <v>0.6</v>
      </c>
      <c r="G53" s="17">
        <v>0.02</v>
      </c>
      <c r="H53" s="18"/>
      <c r="I53" s="18"/>
      <c r="J53" s="17">
        <v>0.02</v>
      </c>
      <c r="K53" s="18">
        <v>96.6</v>
      </c>
      <c r="L53" s="18">
        <f>SUM(E53:K53)</f>
        <v>97.36</v>
      </c>
      <c r="M53" s="15"/>
    </row>
    <row r="54" spans="2:15" x14ac:dyDescent="0.2">
      <c r="B54" s="7"/>
      <c r="C54" s="17"/>
      <c r="D54" s="18"/>
      <c r="E54" s="18"/>
      <c r="F54" s="18"/>
      <c r="G54" s="18"/>
      <c r="H54" s="18"/>
      <c r="I54" s="18"/>
      <c r="J54" s="18"/>
      <c r="K54" s="18"/>
      <c r="L54" s="18"/>
      <c r="M54" s="15"/>
    </row>
    <row r="55" spans="2:15" x14ac:dyDescent="0.2">
      <c r="B55" s="7" t="s">
        <v>27</v>
      </c>
      <c r="C55" s="17">
        <v>-0.66880000000000006</v>
      </c>
      <c r="D55" s="18">
        <v>-5</v>
      </c>
      <c r="E55" s="18"/>
      <c r="F55" s="18"/>
      <c r="G55" s="18"/>
      <c r="H55" s="18"/>
      <c r="I55" s="18"/>
      <c r="J55" s="18">
        <v>0.1</v>
      </c>
      <c r="K55" s="18">
        <v>95.7</v>
      </c>
      <c r="L55" s="18">
        <v>95.8</v>
      </c>
      <c r="M55" s="15"/>
    </row>
    <row r="56" spans="2:15" x14ac:dyDescent="0.2">
      <c r="B56" s="7"/>
      <c r="C56" s="17">
        <v>-0.67</v>
      </c>
      <c r="D56" s="18">
        <v>-1.4833499999999999</v>
      </c>
      <c r="E56" s="17">
        <v>0.01</v>
      </c>
      <c r="F56" s="18"/>
      <c r="G56" s="18"/>
      <c r="H56" s="18"/>
      <c r="I56" s="18">
        <v>7.0000000000000007E-2</v>
      </c>
      <c r="J56" s="18">
        <v>0.1</v>
      </c>
      <c r="K56" s="18">
        <v>92</v>
      </c>
      <c r="L56" s="18">
        <f>SUM(E56:K56)</f>
        <v>92.18</v>
      </c>
      <c r="M56" s="15"/>
    </row>
    <row r="57" spans="2:15" x14ac:dyDescent="0.2">
      <c r="B57" s="7"/>
      <c r="C57" s="17">
        <v>-0.75</v>
      </c>
      <c r="D57" s="18">
        <v>-4.2813400000000001</v>
      </c>
      <c r="E57" s="17">
        <v>0.02</v>
      </c>
      <c r="F57" s="17">
        <v>0.05</v>
      </c>
      <c r="G57" s="18"/>
      <c r="H57" s="18"/>
      <c r="I57" s="18">
        <v>0.1</v>
      </c>
      <c r="J57" s="18">
        <v>0.4</v>
      </c>
      <c r="K57" s="18">
        <v>109</v>
      </c>
      <c r="L57" s="18">
        <f>SUM(E57:K57)</f>
        <v>109.57</v>
      </c>
      <c r="M57" s="15"/>
    </row>
    <row r="58" spans="2:15" x14ac:dyDescent="0.2">
      <c r="B58" s="7"/>
      <c r="C58" s="17"/>
      <c r="D58" s="18"/>
      <c r="E58" s="18"/>
      <c r="F58" s="18"/>
      <c r="G58" s="18"/>
      <c r="H58" s="18"/>
      <c r="I58" s="18"/>
      <c r="J58" s="18"/>
      <c r="K58" s="18"/>
      <c r="L58" s="18"/>
      <c r="M58" s="15"/>
    </row>
    <row r="59" spans="2:15" x14ac:dyDescent="0.2">
      <c r="B59" s="7" t="s">
        <v>30</v>
      </c>
      <c r="C59" s="17">
        <v>-0.50880000000000014</v>
      </c>
      <c r="D59" s="18">
        <v>-5</v>
      </c>
      <c r="E59" s="18"/>
      <c r="F59" s="18"/>
      <c r="G59" s="18"/>
      <c r="H59" s="18"/>
      <c r="I59" s="18"/>
      <c r="J59" s="18"/>
      <c r="K59" s="18">
        <v>94.8</v>
      </c>
      <c r="L59" s="18">
        <v>94.8</v>
      </c>
      <c r="M59" s="15"/>
    </row>
    <row r="60" spans="2:15" x14ac:dyDescent="0.2">
      <c r="B60" s="7"/>
      <c r="C60" s="17">
        <v>-0.54198000000000002</v>
      </c>
      <c r="D60" s="18">
        <f>-24.00657/4.5</f>
        <v>-5.3347933333333337</v>
      </c>
      <c r="E60" s="17">
        <v>9.7437800000000005E-3</v>
      </c>
      <c r="F60" s="18"/>
      <c r="G60" s="18"/>
      <c r="H60" s="18"/>
      <c r="I60" s="18"/>
      <c r="J60" s="18"/>
      <c r="K60" s="18">
        <v>99</v>
      </c>
      <c r="L60" s="18"/>
      <c r="M60" s="15"/>
    </row>
    <row r="61" spans="2:15" x14ac:dyDescent="0.2">
      <c r="B61" s="7"/>
      <c r="C61" s="17"/>
      <c r="D61" s="18"/>
      <c r="E61" s="18"/>
      <c r="F61" s="18"/>
      <c r="G61" s="18"/>
      <c r="H61" s="18"/>
      <c r="I61" s="18"/>
      <c r="J61" s="18"/>
      <c r="K61" s="18"/>
      <c r="L61" s="18"/>
      <c r="M61" s="15"/>
    </row>
    <row r="62" spans="2:15" x14ac:dyDescent="0.2">
      <c r="D62" s="16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2:15" x14ac:dyDescent="0.2">
      <c r="O63" s="15"/>
    </row>
  </sheetData>
  <pageMargins left="0.7" right="0.7" top="0.75" bottom="0.75" header="0.3" footer="0.3"/>
  <pageSetup orientation="portrait" horizontalDpi="1200" verticalDpi="12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6" sqref="C6"/>
    </sheetView>
  </sheetViews>
  <sheetFormatPr baseColWidth="10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X52"/>
  <sheetViews>
    <sheetView topLeftCell="Q1" zoomScale="86" workbookViewId="0">
      <selection activeCell="X5" sqref="X5:X12"/>
    </sheetView>
  </sheetViews>
  <sheetFormatPr baseColWidth="10" defaultColWidth="8.83203125" defaultRowHeight="15" x14ac:dyDescent="0.2"/>
  <cols>
    <col min="1" max="1" width="14.83203125" bestFit="1" customWidth="1"/>
    <col min="2" max="2" width="9" customWidth="1"/>
    <col min="3" max="3" width="8.6640625" customWidth="1"/>
    <col min="4" max="4" width="9.1640625" customWidth="1"/>
    <col min="9" max="9" width="16.33203125" customWidth="1"/>
    <col min="10" max="10" width="12.83203125" customWidth="1"/>
    <col min="15" max="15" width="11.6640625" bestFit="1" customWidth="1"/>
    <col min="16" max="16" width="12.6640625" bestFit="1" customWidth="1"/>
  </cols>
  <sheetData>
    <row r="1" spans="1:24" x14ac:dyDescent="0.2">
      <c r="B1" s="97" t="s">
        <v>95</v>
      </c>
      <c r="C1" s="97"/>
      <c r="D1" s="97"/>
      <c r="E1" s="97"/>
      <c r="F1" s="97"/>
      <c r="G1" s="97"/>
    </row>
    <row r="2" spans="1:24" x14ac:dyDescent="0.2">
      <c r="A2" t="s">
        <v>66</v>
      </c>
      <c r="B2" s="10" t="s">
        <v>5</v>
      </c>
      <c r="C2" s="10" t="s">
        <v>44</v>
      </c>
      <c r="D2" s="10" t="s">
        <v>6</v>
      </c>
      <c r="E2" s="10" t="s">
        <v>3</v>
      </c>
      <c r="F2" s="10" t="s">
        <v>68</v>
      </c>
      <c r="G2" s="10" t="s">
        <v>48</v>
      </c>
      <c r="H2" s="10"/>
      <c r="I2" t="s">
        <v>66</v>
      </c>
      <c r="J2" s="10" t="s">
        <v>67</v>
      </c>
      <c r="K2" s="10" t="s">
        <v>5</v>
      </c>
      <c r="L2" s="10" t="s">
        <v>44</v>
      </c>
      <c r="M2" s="10" t="s">
        <v>6</v>
      </c>
      <c r="N2" s="10" t="s">
        <v>3</v>
      </c>
      <c r="O2" s="10" t="s">
        <v>50</v>
      </c>
      <c r="P2" t="s">
        <v>52</v>
      </c>
      <c r="Q2" t="s">
        <v>58</v>
      </c>
      <c r="R2" t="s">
        <v>59</v>
      </c>
      <c r="S2" t="s">
        <v>60</v>
      </c>
      <c r="T2" t="s">
        <v>61</v>
      </c>
      <c r="U2" t="s">
        <v>62</v>
      </c>
      <c r="V2" t="s">
        <v>63</v>
      </c>
      <c r="X2" t="s">
        <v>101</v>
      </c>
    </row>
    <row r="3" spans="1:24" x14ac:dyDescent="0.2">
      <c r="B3" s="10"/>
      <c r="C3" s="10"/>
      <c r="D3" s="10"/>
      <c r="E3" s="10"/>
      <c r="F3" s="10"/>
      <c r="G3" s="10" t="s">
        <v>9</v>
      </c>
      <c r="H3" s="10"/>
      <c r="J3" s="10"/>
      <c r="K3" s="10"/>
      <c r="L3" s="10"/>
      <c r="M3" s="10"/>
      <c r="N3" s="10"/>
      <c r="O3" s="10"/>
      <c r="P3" t="s">
        <v>69</v>
      </c>
      <c r="Q3" t="s">
        <v>9</v>
      </c>
      <c r="S3" t="s">
        <v>9</v>
      </c>
      <c r="T3" t="s">
        <v>9</v>
      </c>
      <c r="U3" t="s">
        <v>9</v>
      </c>
      <c r="V3" t="s">
        <v>9</v>
      </c>
    </row>
    <row r="4" spans="1:24" x14ac:dyDescent="0.2">
      <c r="J4" s="10"/>
      <c r="K4" s="10"/>
      <c r="L4" s="10"/>
      <c r="M4" s="10"/>
      <c r="N4" s="10"/>
      <c r="P4" t="s">
        <v>25</v>
      </c>
      <c r="Q4" t="s">
        <v>25</v>
      </c>
      <c r="R4" t="s">
        <v>25</v>
      </c>
      <c r="S4" t="s">
        <v>25</v>
      </c>
      <c r="T4" t="s">
        <v>25</v>
      </c>
      <c r="U4" t="s">
        <v>25</v>
      </c>
      <c r="V4" t="s">
        <v>25</v>
      </c>
    </row>
    <row r="5" spans="1:24" x14ac:dyDescent="0.2">
      <c r="A5" s="16">
        <v>-0.39668766666666699</v>
      </c>
      <c r="B5" s="84">
        <v>0.77780000000000005</v>
      </c>
      <c r="C5" s="84">
        <v>4.84333333333333E-2</v>
      </c>
      <c r="D5" s="84">
        <f>C5/100</f>
        <v>4.8433333333333298E-4</v>
      </c>
      <c r="E5" s="84"/>
      <c r="F5" s="85">
        <f>SUM(B5:E5)</f>
        <v>0.82671766666666668</v>
      </c>
      <c r="G5" s="84">
        <f>SUM(B5,D5:E5)</f>
        <v>0.77828433333333336</v>
      </c>
      <c r="H5" s="84"/>
      <c r="I5" s="16">
        <v>-0.39668766666666699</v>
      </c>
      <c r="J5" s="16">
        <v>-0.39133333333333298</v>
      </c>
      <c r="K5">
        <f>B5*$J5</f>
        <v>-0.30437906666666642</v>
      </c>
      <c r="L5">
        <f>C5*$J5</f>
        <v>-1.8953577777777748E-2</v>
      </c>
      <c r="M5">
        <f>D5*$J5</f>
        <v>-1.8953577777777747E-4</v>
      </c>
      <c r="O5">
        <f>SUM(K5,M5:N5)</f>
        <v>-0.30456860244444423</v>
      </c>
      <c r="P5">
        <f>(K5/1000*3600/(96485*2)+M5/1000*3600/(96485*2)+N5/1000*3600/(96485*6))*4.5</f>
        <v>-2.5568800122298779E-5</v>
      </c>
      <c r="R5">
        <f>O5/L5</f>
        <v>16.069187887130088</v>
      </c>
      <c r="S5">
        <f>K5/SUM(K5,M5)</f>
        <v>0.99937769101523732</v>
      </c>
      <c r="T5">
        <f>M5/SUM(M5,K5)</f>
        <v>6.2230898476263756E-4</v>
      </c>
      <c r="X5">
        <f>-K5</f>
        <v>0.30437906666666642</v>
      </c>
    </row>
    <row r="6" spans="1:24" x14ac:dyDescent="0.2">
      <c r="A6" s="16">
        <v>-0.54270750000000001</v>
      </c>
      <c r="B6" s="84">
        <v>0.82974999999999999</v>
      </c>
      <c r="C6" s="84">
        <v>1.5075E-2</v>
      </c>
      <c r="D6" s="84">
        <f t="shared" ref="D6:D12" si="0">C6/100</f>
        <v>1.5075000000000001E-4</v>
      </c>
      <c r="E6" s="84"/>
      <c r="F6" s="85">
        <f t="shared" ref="F6:F12" si="1">SUM(B6:E6)</f>
        <v>0.84497574999999991</v>
      </c>
      <c r="G6" s="84">
        <f t="shared" ref="G6:G11" si="2">SUM(B6,D6:E6)</f>
        <v>0.82990074999999996</v>
      </c>
      <c r="H6" s="84"/>
      <c r="I6" s="16">
        <v>-0.54270750000000001</v>
      </c>
      <c r="J6" s="16">
        <v>-1.8374999999999999</v>
      </c>
      <c r="K6">
        <f t="shared" ref="K6:K12" si="3">B6*$J6</f>
        <v>-1.5246656249999999</v>
      </c>
      <c r="L6">
        <f t="shared" ref="L6:L12" si="4">C6*$J6</f>
        <v>-2.7700312499999998E-2</v>
      </c>
      <c r="M6">
        <f t="shared" ref="M6:M12" si="5">D6*$J6</f>
        <v>-2.7700312499999999E-4</v>
      </c>
      <c r="O6">
        <f t="shared" ref="O6:O10" si="6">SUM(K6,M6:N6)</f>
        <v>-1.5249426281249998</v>
      </c>
      <c r="P6">
        <f t="shared" ref="P6:P12" si="7">(K6/1000*3600/(96485*2)+M6/1000*3600/(96485*2)+N6/1000*3600/(96485*6))*4.5</f>
        <v>-1.2802026519990152E-4</v>
      </c>
      <c r="R6">
        <f t="shared" ref="R6:R12" si="8">O6/L6</f>
        <v>55.051459369817579</v>
      </c>
      <c r="S6">
        <f t="shared" ref="S6:S12" si="9">K6/SUM(K6,M6)</f>
        <v>0.99981835177278733</v>
      </c>
      <c r="T6">
        <f>M6/SUM(M6,K6)</f>
        <v>1.8164822721271191E-4</v>
      </c>
      <c r="X6">
        <f t="shared" ref="X6:X12" si="10">-K6</f>
        <v>1.5246656249999999</v>
      </c>
    </row>
    <row r="7" spans="1:24" x14ac:dyDescent="0.2">
      <c r="A7" s="16">
        <v>-0.67633333333333301</v>
      </c>
      <c r="B7" s="84">
        <v>0.97010000000000007</v>
      </c>
      <c r="C7" s="84">
        <v>2.9500000000000002E-2</v>
      </c>
      <c r="D7" s="84">
        <f t="shared" si="0"/>
        <v>2.9500000000000001E-4</v>
      </c>
      <c r="E7" s="84"/>
      <c r="F7" s="85">
        <f t="shared" si="1"/>
        <v>0.99989500000000009</v>
      </c>
      <c r="G7" s="84">
        <f t="shared" si="2"/>
        <v>0.97039500000000012</v>
      </c>
      <c r="H7" s="84"/>
      <c r="I7" s="16">
        <v>-0.67633333333333301</v>
      </c>
      <c r="J7" s="16">
        <v>-3.39333333333333</v>
      </c>
      <c r="K7">
        <f t="shared" si="3"/>
        <v>-3.2918726666666638</v>
      </c>
      <c r="L7">
        <f t="shared" si="4"/>
        <v>-0.10010333333333324</v>
      </c>
      <c r="M7">
        <f t="shared" si="5"/>
        <v>-1.0010333333333324E-3</v>
      </c>
      <c r="O7">
        <f t="shared" si="6"/>
        <v>-3.2928736999999972</v>
      </c>
      <c r="P7">
        <f t="shared" si="7"/>
        <v>-2.7643962242835648E-4</v>
      </c>
      <c r="R7">
        <f t="shared" si="8"/>
        <v>32.894745762711871</v>
      </c>
      <c r="S7">
        <f t="shared" si="9"/>
        <v>0.99969600008244064</v>
      </c>
      <c r="T7">
        <f t="shared" ref="T7:T11" si="11">M7/SUM(M7,K7)</f>
        <v>3.0399991755934437E-4</v>
      </c>
      <c r="X7">
        <f t="shared" si="10"/>
        <v>3.2918726666666638</v>
      </c>
    </row>
    <row r="8" spans="1:24" x14ac:dyDescent="0.2">
      <c r="A8" s="16">
        <v>-0.82233333333333303</v>
      </c>
      <c r="B8" s="84">
        <v>0.73819999999999997</v>
      </c>
      <c r="C8" s="84">
        <v>0.1048</v>
      </c>
      <c r="D8" s="84">
        <f t="shared" si="0"/>
        <v>1.0480000000000001E-3</v>
      </c>
      <c r="E8" s="84"/>
      <c r="F8" s="85">
        <f t="shared" si="1"/>
        <v>0.84404800000000002</v>
      </c>
      <c r="G8" s="84">
        <f t="shared" si="2"/>
        <v>0.73924800000000002</v>
      </c>
      <c r="H8" s="84"/>
      <c r="I8" s="16">
        <v>-0.82233333333333303</v>
      </c>
      <c r="J8" s="16">
        <v>-4.6966666666666699</v>
      </c>
      <c r="K8">
        <f t="shared" si="3"/>
        <v>-3.4670793333333356</v>
      </c>
      <c r="L8">
        <f t="shared" si="4"/>
        <v>-0.49221066666666702</v>
      </c>
      <c r="M8">
        <f t="shared" si="5"/>
        <v>-4.9221066666666705E-3</v>
      </c>
      <c r="O8">
        <f t="shared" si="6"/>
        <v>-3.4720014400000023</v>
      </c>
      <c r="P8">
        <f t="shared" si="7"/>
        <v>-2.9147755261439625E-4</v>
      </c>
      <c r="R8">
        <f t="shared" si="8"/>
        <v>7.0538931297709917</v>
      </c>
      <c r="S8">
        <f t="shared" si="9"/>
        <v>0.99858234313789151</v>
      </c>
      <c r="T8">
        <f t="shared" si="11"/>
        <v>1.4176568621085213E-3</v>
      </c>
      <c r="X8">
        <f t="shared" si="10"/>
        <v>3.4670793333333356</v>
      </c>
    </row>
    <row r="9" spans="1:24" x14ac:dyDescent="0.2">
      <c r="A9" s="16">
        <v>-0.96425000000000005</v>
      </c>
      <c r="B9" s="84">
        <v>0.66549999999999998</v>
      </c>
      <c r="C9" s="84">
        <v>0.32077500000000003</v>
      </c>
      <c r="D9" s="84">
        <f t="shared" si="0"/>
        <v>3.2077500000000005E-3</v>
      </c>
      <c r="E9" s="84">
        <v>7.2000000000000002E-5</v>
      </c>
      <c r="F9" s="85">
        <f t="shared" si="1"/>
        <v>0.98955474999999993</v>
      </c>
      <c r="G9" s="84">
        <f t="shared" si="2"/>
        <v>0.6687797499999999</v>
      </c>
      <c r="H9" s="84"/>
      <c r="I9" s="16">
        <v>-0.96425000000000005</v>
      </c>
      <c r="J9" s="16">
        <v>-5.7824999999999998</v>
      </c>
      <c r="K9">
        <f t="shared" si="3"/>
        <v>-3.8482537499999996</v>
      </c>
      <c r="L9">
        <f t="shared" si="4"/>
        <v>-1.8548814375</v>
      </c>
      <c r="M9">
        <f t="shared" si="5"/>
        <v>-1.8548814375000004E-2</v>
      </c>
      <c r="N9">
        <f>E9*$J9</f>
        <v>-4.1634000000000002E-4</v>
      </c>
      <c r="O9">
        <f t="shared" si="6"/>
        <v>-3.8672189043749996</v>
      </c>
      <c r="P9">
        <f t="shared" si="7"/>
        <v>-3.2463310244532827E-4</v>
      </c>
      <c r="Q9">
        <f>N9/O9</f>
        <v>1.0765876209619087E-4</v>
      </c>
      <c r="R9">
        <f t="shared" si="8"/>
        <v>2.0848873821214244</v>
      </c>
      <c r="S9">
        <f>K9/SUM(K9,M9)</f>
        <v>0.99520306142705839</v>
      </c>
      <c r="T9">
        <f t="shared" si="11"/>
        <v>4.7969385729416192E-3</v>
      </c>
      <c r="U9">
        <f t="shared" ref="U9:U12" si="12">N9/N9</f>
        <v>1</v>
      </c>
      <c r="V9">
        <v>0</v>
      </c>
      <c r="X9">
        <f t="shared" si="10"/>
        <v>3.8482537499999996</v>
      </c>
    </row>
    <row r="10" spans="1:24" s="7" customFormat="1" x14ac:dyDescent="0.2">
      <c r="A10" s="16">
        <v>-1.0029999999999999</v>
      </c>
      <c r="B10" s="84">
        <v>0.54669999999999996</v>
      </c>
      <c r="C10" s="84">
        <v>0.35222499999999995</v>
      </c>
      <c r="D10" s="84">
        <f t="shared" si="0"/>
        <v>3.5222499999999993E-3</v>
      </c>
      <c r="E10" s="84">
        <v>2.9999999999999997E-4</v>
      </c>
      <c r="F10" s="85">
        <f>SUM(B10:E10)</f>
        <v>0.90274724999999989</v>
      </c>
      <c r="G10" s="84">
        <f t="shared" si="2"/>
        <v>0.55052224999999988</v>
      </c>
      <c r="H10" s="84"/>
      <c r="I10" s="16">
        <v>-1.0029999999999999</v>
      </c>
      <c r="J10" s="16">
        <v>-7.9249999999999998</v>
      </c>
      <c r="K10">
        <f t="shared" si="3"/>
        <v>-4.3325974999999994</v>
      </c>
      <c r="L10">
        <f t="shared" si="4"/>
        <v>-2.7913831249999994</v>
      </c>
      <c r="M10">
        <f t="shared" si="5"/>
        <v>-2.7913831249999993E-2</v>
      </c>
      <c r="N10">
        <f t="shared" ref="N10:N12" si="13">E10*$J10</f>
        <v>-2.3774999999999998E-3</v>
      </c>
      <c r="O10">
        <f t="shared" si="6"/>
        <v>-4.3628888312499994</v>
      </c>
      <c r="P10">
        <f t="shared" si="7"/>
        <v>-3.6613526489221116E-4</v>
      </c>
      <c r="Q10">
        <f t="shared" ref="Q10:Q12" si="14">N10/O10</f>
        <v>5.4493710290546844E-4</v>
      </c>
      <c r="R10">
        <f t="shared" si="8"/>
        <v>1.5629845979132657</v>
      </c>
      <c r="S10">
        <f t="shared" si="9"/>
        <v>0.99359849588052818</v>
      </c>
      <c r="T10">
        <f>M10/SUM(M10,K10)</f>
        <v>6.4015041194717213E-3</v>
      </c>
      <c r="U10">
        <f t="shared" si="12"/>
        <v>1</v>
      </c>
      <c r="V10" s="7">
        <v>0</v>
      </c>
      <c r="X10">
        <f t="shared" si="10"/>
        <v>4.3325974999999994</v>
      </c>
    </row>
    <row r="11" spans="1:24" x14ac:dyDescent="0.2">
      <c r="A11" s="16">
        <v>-1.0673333333333299</v>
      </c>
      <c r="B11" s="84">
        <v>0.40579999999999999</v>
      </c>
      <c r="C11" s="85">
        <v>0.65353333333333297</v>
      </c>
      <c r="D11" s="84">
        <f t="shared" si="0"/>
        <v>6.5353333333333296E-3</v>
      </c>
      <c r="E11" s="84">
        <v>6.9999999999999999E-4</v>
      </c>
      <c r="F11" s="85">
        <f>SUM(B11:E11)</f>
        <v>1.0665686666666663</v>
      </c>
      <c r="G11" s="84">
        <f t="shared" si="2"/>
        <v>0.41303533333333331</v>
      </c>
      <c r="H11" s="84"/>
      <c r="I11" s="16">
        <v>-1.0673333333333299</v>
      </c>
      <c r="J11" s="16">
        <v>-9.8366666666666696</v>
      </c>
      <c r="K11">
        <f t="shared" si="3"/>
        <v>-3.9917193333333345</v>
      </c>
      <c r="L11">
        <f t="shared" si="4"/>
        <v>-6.4285895555555541</v>
      </c>
      <c r="M11">
        <f t="shared" si="5"/>
        <v>-6.4285895555555542E-2</v>
      </c>
      <c r="N11">
        <f>E11*$J11</f>
        <v>-6.8856666666666684E-3</v>
      </c>
      <c r="O11">
        <f>SUM(K11,M11:N11)</f>
        <v>-4.0628908955555563</v>
      </c>
      <c r="P11">
        <f t="shared" si="7"/>
        <v>-3.4069786654920457E-4</v>
      </c>
      <c r="Q11">
        <f t="shared" si="14"/>
        <v>1.6947702617855131E-3</v>
      </c>
      <c r="R11">
        <f>O11/L11</f>
        <v>0.63200346832602294</v>
      </c>
      <c r="S11">
        <f t="shared" si="9"/>
        <v>0.98415044066075674</v>
      </c>
      <c r="T11">
        <f t="shared" si="11"/>
        <v>1.5849559339243296E-2</v>
      </c>
      <c r="X11">
        <f t="shared" si="10"/>
        <v>3.9917193333333345</v>
      </c>
    </row>
    <row r="12" spans="1:24" x14ac:dyDescent="0.2">
      <c r="A12" s="16">
        <v>-1.1272500000000001</v>
      </c>
      <c r="B12" s="84">
        <v>0.25225000000000003</v>
      </c>
      <c r="C12" s="84">
        <v>0.76954999999999996</v>
      </c>
      <c r="D12" s="84">
        <f t="shared" si="0"/>
        <v>7.6954999999999992E-3</v>
      </c>
      <c r="E12" s="84">
        <v>4.9899999999999999E-4</v>
      </c>
      <c r="F12" s="84">
        <f t="shared" si="1"/>
        <v>1.0299945000000001</v>
      </c>
      <c r="G12" s="84">
        <f>SUM(B12,D12:E12)</f>
        <v>0.26044450000000008</v>
      </c>
      <c r="H12" s="84"/>
      <c r="I12" s="16">
        <v>-1.1272500000000001</v>
      </c>
      <c r="J12" s="16">
        <v>-12.89</v>
      </c>
      <c r="K12">
        <f t="shared" si="3"/>
        <v>-3.2515025000000004</v>
      </c>
      <c r="L12">
        <f t="shared" si="4"/>
        <v>-9.9194995000000006</v>
      </c>
      <c r="M12">
        <f t="shared" si="5"/>
        <v>-9.9194994999999994E-2</v>
      </c>
      <c r="N12">
        <f t="shared" si="13"/>
        <v>-6.4321100000000004E-3</v>
      </c>
      <c r="O12">
        <f>SUM(K12,M12:N12)</f>
        <v>-3.3571296050000003</v>
      </c>
      <c r="P12">
        <f t="shared" si="7"/>
        <v>-2.8147397426024775E-4</v>
      </c>
      <c r="Q12">
        <f t="shared" si="14"/>
        <v>1.9159552227057972E-3</v>
      </c>
      <c r="R12">
        <f t="shared" si="8"/>
        <v>0.33843739847963095</v>
      </c>
      <c r="S12">
        <f t="shared" si="9"/>
        <v>0.97039571756387399</v>
      </c>
      <c r="T12">
        <f>M12/SUM(M12,K12)</f>
        <v>2.960428243612603E-2</v>
      </c>
      <c r="U12">
        <f t="shared" si="12"/>
        <v>1</v>
      </c>
      <c r="V12">
        <v>0</v>
      </c>
      <c r="X12">
        <f t="shared" si="10"/>
        <v>3.2515025000000004</v>
      </c>
    </row>
    <row r="13" spans="1:24" x14ac:dyDescent="0.2">
      <c r="A13" s="11"/>
      <c r="B13" s="12"/>
      <c r="C13" s="12"/>
      <c r="D13" s="12"/>
      <c r="E13" s="12"/>
      <c r="G13" s="11"/>
      <c r="H13" s="11"/>
      <c r="I13" s="13"/>
    </row>
    <row r="14" spans="1:24" s="7" customFormat="1" x14ac:dyDescent="0.2">
      <c r="A14" s="82"/>
      <c r="B14" s="8"/>
      <c r="C14" s="8"/>
      <c r="D14" s="8"/>
      <c r="E14" s="8"/>
      <c r="G14" s="82"/>
      <c r="H14" s="82"/>
      <c r="I14" s="83"/>
    </row>
    <row r="15" spans="1:24" s="7" customFormat="1" x14ac:dyDescent="0.2"/>
    <row r="16" spans="1:24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24" s="7" customFormat="1" x14ac:dyDescent="0.2"/>
    <row r="25" s="7" customFormat="1" x14ac:dyDescent="0.2"/>
    <row r="26" s="7" customFormat="1" x14ac:dyDescent="0.2"/>
    <row r="27" s="7" customFormat="1" x14ac:dyDescent="0.2"/>
    <row r="28" s="7" customFormat="1" x14ac:dyDescent="0.2"/>
    <row r="29" s="7" customFormat="1" x14ac:dyDescent="0.2"/>
    <row r="30" s="7" customFormat="1" x14ac:dyDescent="0.2"/>
    <row r="31" s="7" customFormat="1" x14ac:dyDescent="0.2"/>
    <row r="32" s="7" customFormat="1" x14ac:dyDescent="0.2"/>
    <row r="33" spans="2:3" s="7" customFormat="1" x14ac:dyDescent="0.2"/>
    <row r="34" spans="2:3" s="7" customFormat="1" x14ac:dyDescent="0.2"/>
    <row r="35" spans="2:3" s="7" customFormat="1" x14ac:dyDescent="0.2"/>
    <row r="36" spans="2:3" s="7" customFormat="1" x14ac:dyDescent="0.2"/>
    <row r="37" spans="2:3" s="7" customFormat="1" x14ac:dyDescent="0.2"/>
    <row r="38" spans="2:3" s="7" customFormat="1" x14ac:dyDescent="0.2"/>
    <row r="39" spans="2:3" s="7" customFormat="1" x14ac:dyDescent="0.2"/>
    <row r="44" spans="2:3" x14ac:dyDescent="0.2">
      <c r="B44" s="16"/>
    </row>
    <row r="45" spans="2:3" x14ac:dyDescent="0.2">
      <c r="B45" s="16"/>
      <c r="C45" s="16"/>
    </row>
    <row r="46" spans="2:3" x14ac:dyDescent="0.2">
      <c r="B46" s="16"/>
      <c r="C46" s="16"/>
    </row>
    <row r="47" spans="2:3" x14ac:dyDescent="0.2">
      <c r="B47" s="16"/>
      <c r="C47" s="16"/>
    </row>
    <row r="48" spans="2:3" x14ac:dyDescent="0.2">
      <c r="B48" s="16"/>
      <c r="C48" s="16"/>
    </row>
    <row r="49" spans="2:3" x14ac:dyDescent="0.2">
      <c r="B49" s="16"/>
      <c r="C49" s="16"/>
    </row>
    <row r="50" spans="2:3" x14ac:dyDescent="0.2">
      <c r="B50" s="16"/>
      <c r="C50" s="16"/>
    </row>
    <row r="51" spans="2:3" x14ac:dyDescent="0.2">
      <c r="B51" s="16"/>
      <c r="C51" s="16"/>
    </row>
    <row r="52" spans="2:3" x14ac:dyDescent="0.2">
      <c r="C52" s="16"/>
    </row>
  </sheetData>
  <mergeCells count="1">
    <mergeCell ref="B1:G1"/>
  </mergeCells>
  <pageMargins left="0.7" right="0.7" top="0.75" bottom="0.75" header="0.3" footer="0.3"/>
  <pageSetup orientation="portrait" horizontalDpi="1200" verticalDpi="12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CI96"/>
  <sheetViews>
    <sheetView topLeftCell="P1" zoomScale="91" zoomScaleNormal="291" zoomScalePageLayoutView="291" workbookViewId="0">
      <selection activeCell="AI29" sqref="AI29"/>
    </sheetView>
  </sheetViews>
  <sheetFormatPr baseColWidth="10" defaultColWidth="8.83203125" defaultRowHeight="15" x14ac:dyDescent="0.2"/>
  <cols>
    <col min="14" max="14" width="10.1640625" bestFit="1" customWidth="1"/>
    <col min="26" max="27" width="12.1640625" bestFit="1" customWidth="1"/>
    <col min="28" max="28" width="18.1640625" customWidth="1"/>
    <col min="29" max="29" width="20" customWidth="1"/>
    <col min="34" max="34" width="10.1640625" bestFit="1" customWidth="1"/>
    <col min="35" max="35" width="11.83203125" bestFit="1" customWidth="1"/>
    <col min="37" max="37" width="12.6640625" bestFit="1" customWidth="1"/>
    <col min="38" max="41" width="12.1640625" customWidth="1"/>
    <col min="46" max="46" width="10.83203125" bestFit="1" customWidth="1"/>
    <col min="47" max="47" width="11.33203125" customWidth="1"/>
    <col min="48" max="48" width="14" customWidth="1"/>
    <col min="49" max="49" width="17.6640625" customWidth="1"/>
  </cols>
  <sheetData>
    <row r="1" spans="1:49" x14ac:dyDescent="0.2">
      <c r="A1" t="s">
        <v>10</v>
      </c>
      <c r="B1" t="s">
        <v>7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K1" t="s">
        <v>52</v>
      </c>
      <c r="AL1" t="s">
        <v>7</v>
      </c>
      <c r="AR1" t="s">
        <v>58</v>
      </c>
      <c r="AS1" t="s">
        <v>59</v>
      </c>
      <c r="AT1" t="s">
        <v>60</v>
      </c>
      <c r="AU1" t="s">
        <v>61</v>
      </c>
      <c r="AV1" t="s">
        <v>62</v>
      </c>
      <c r="AW1" t="s">
        <v>63</v>
      </c>
    </row>
    <row r="2" spans="1:49" x14ac:dyDescent="0.2">
      <c r="A2" t="s">
        <v>11</v>
      </c>
      <c r="B2" t="s">
        <v>2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  <c r="N2" t="s">
        <v>9</v>
      </c>
      <c r="O2" t="s">
        <v>9</v>
      </c>
      <c r="P2" t="s">
        <v>9</v>
      </c>
      <c r="Q2" t="s">
        <v>9</v>
      </c>
      <c r="R2" t="s">
        <v>9</v>
      </c>
      <c r="T2" t="s">
        <v>2</v>
      </c>
      <c r="U2" t="s">
        <v>2</v>
      </c>
      <c r="V2" t="s">
        <v>2</v>
      </c>
      <c r="W2" t="s">
        <v>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  <c r="AI2" t="s">
        <v>2</v>
      </c>
      <c r="AK2" t="s">
        <v>48</v>
      </c>
      <c r="AL2" t="s">
        <v>2</v>
      </c>
      <c r="AM2" t="s">
        <v>152</v>
      </c>
      <c r="AN2" t="s">
        <v>157</v>
      </c>
      <c r="AO2" t="s">
        <v>158</v>
      </c>
      <c r="AP2" t="s">
        <v>145</v>
      </c>
      <c r="AQ2" t="s">
        <v>155</v>
      </c>
      <c r="AR2" t="s">
        <v>9</v>
      </c>
      <c r="AT2" t="s">
        <v>9</v>
      </c>
      <c r="AU2" t="s">
        <v>9</v>
      </c>
      <c r="AV2" t="s">
        <v>9</v>
      </c>
      <c r="AW2" t="s">
        <v>9</v>
      </c>
    </row>
    <row r="3" spans="1:49" x14ac:dyDescent="0.2">
      <c r="A3" t="s">
        <v>28</v>
      </c>
      <c r="B3" t="s">
        <v>68</v>
      </c>
      <c r="C3" t="s">
        <v>4</v>
      </c>
      <c r="D3" t="s">
        <v>12</v>
      </c>
      <c r="E3" t="s">
        <v>6</v>
      </c>
      <c r="F3" t="s">
        <v>5</v>
      </c>
      <c r="G3" t="s">
        <v>3</v>
      </c>
      <c r="H3" t="s">
        <v>13</v>
      </c>
      <c r="I3" t="s">
        <v>14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P3" t="s">
        <v>21</v>
      </c>
      <c r="Q3" t="s">
        <v>22</v>
      </c>
      <c r="R3" t="s">
        <v>23</v>
      </c>
      <c r="S3" t="s">
        <v>71</v>
      </c>
      <c r="T3" t="s">
        <v>4</v>
      </c>
      <c r="U3" t="s">
        <v>12</v>
      </c>
      <c r="V3" t="s">
        <v>6</v>
      </c>
      <c r="W3" t="s">
        <v>5</v>
      </c>
      <c r="X3" t="s">
        <v>3</v>
      </c>
      <c r="Y3" t="s">
        <v>13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20</v>
      </c>
      <c r="AG3" t="s">
        <v>21</v>
      </c>
      <c r="AH3" t="s">
        <v>22</v>
      </c>
      <c r="AI3" t="s">
        <v>23</v>
      </c>
      <c r="AJ3" t="s">
        <v>50</v>
      </c>
      <c r="AK3" t="s">
        <v>28</v>
      </c>
      <c r="AL3" t="s">
        <v>55</v>
      </c>
      <c r="AP3" t="s">
        <v>64</v>
      </c>
      <c r="AQ3" t="s">
        <v>144</v>
      </c>
      <c r="AR3" t="s">
        <v>28</v>
      </c>
      <c r="AS3" t="s">
        <v>28</v>
      </c>
      <c r="AT3" t="s">
        <v>28</v>
      </c>
      <c r="AU3" t="s">
        <v>28</v>
      </c>
      <c r="AV3" t="s">
        <v>28</v>
      </c>
      <c r="AW3" t="s">
        <v>28</v>
      </c>
    </row>
    <row r="4" spans="1:49" x14ac:dyDescent="0.2">
      <c r="A4">
        <v>-1.16953</v>
      </c>
      <c r="B4">
        <v>-17.34</v>
      </c>
      <c r="C4" s="84">
        <v>0.51663999999999999</v>
      </c>
      <c r="D4" s="84">
        <v>0.41009000000000001</v>
      </c>
      <c r="E4" s="84">
        <v>4.6299999999999996E-3</v>
      </c>
      <c r="F4" s="84">
        <v>2.8999999999999998E-3</v>
      </c>
      <c r="G4" s="84">
        <v>1.1292499999999999E-4</v>
      </c>
      <c r="H4" s="84">
        <v>9.2960000000000001E-2</v>
      </c>
      <c r="I4" s="84">
        <v>1.6740000000000001E-2</v>
      </c>
      <c r="J4" s="84"/>
      <c r="K4" s="84"/>
      <c r="L4" s="84">
        <v>3.5009100000000002E-4</v>
      </c>
      <c r="M4" s="84">
        <v>1.33137E-4</v>
      </c>
      <c r="N4" s="84">
        <v>1.33E-3</v>
      </c>
      <c r="O4" s="84"/>
      <c r="P4" s="84"/>
      <c r="Q4" s="84"/>
      <c r="R4" s="84"/>
      <c r="S4" s="84">
        <f>SUM(D4:R4)</f>
        <v>0.52924615300000011</v>
      </c>
      <c r="T4">
        <f>$B$4*C4</f>
        <v>-8.9585375999999997</v>
      </c>
      <c r="U4">
        <f t="shared" ref="U4:AE4" si="0">$B$4*D4</f>
        <v>-7.1109606000000003</v>
      </c>
      <c r="V4">
        <f t="shared" si="0"/>
        <v>-8.0284199999999986E-2</v>
      </c>
      <c r="W4">
        <f t="shared" si="0"/>
        <v>-5.0285999999999997E-2</v>
      </c>
      <c r="X4">
        <f t="shared" si="0"/>
        <v>-1.9581195000000001E-3</v>
      </c>
      <c r="Y4">
        <f t="shared" si="0"/>
        <v>-1.6119264</v>
      </c>
      <c r="Z4">
        <f t="shared" si="0"/>
        <v>-0.29027160000000002</v>
      </c>
      <c r="AC4">
        <f t="shared" si="0"/>
        <v>-6.0705779400000003E-3</v>
      </c>
      <c r="AD4">
        <f t="shared" si="0"/>
        <v>-2.3085955799999999E-3</v>
      </c>
      <c r="AE4">
        <f t="shared" si="0"/>
        <v>-2.3062200000000001E-2</v>
      </c>
      <c r="AJ4">
        <f>SUM(U4:AI4)</f>
        <v>-9.1771282930200009</v>
      </c>
      <c r="AK4">
        <f>(U4/1000*4.5*36000/(8*96485)+V4/1000*4.5*36000/(2*96485)+W4/1000*4.5*36000/(2*96485)+X4/1000*4.5*36000/(6*96485)+Y4/1000*2*4.5*36000/(12*96485)+Z4/1000*2*4.5*36000/(12*96485)+AA4/1000*2*4.5*36000/(8*96485)+AB4/1000*2*4.5*36000/(10*96485)+AC4/1000*2*4.5*36000/(10*96485)+AD4/1000*2*4.5*36000/(12*96485)+AE4/1000*3*4.5*36000/(18*96485)+AF4/1000*3*4.5*36000/(16*96485)+AG4/1000*3*4.5*36000/(16*96485)+AH4/1000*3*4.5*36000/(16*96485)+AI4/1000*3*4.5*36000/(14*96485))/10</f>
        <v>-2.1440332878936208E-4</v>
      </c>
      <c r="AL4">
        <f>SUM(Y4:AI4)/AP4</f>
        <v>-0.21374310026394758</v>
      </c>
      <c r="AM4">
        <f>-W4</f>
        <v>5.0285999999999997E-2</v>
      </c>
      <c r="AN4">
        <f>-V4</f>
        <v>8.0284199999999986E-2</v>
      </c>
      <c r="AO4">
        <f t="shared" ref="AO4:AO12" si="1">-SUM(U4,X4)</f>
        <v>7.1129187195000005</v>
      </c>
      <c r="AP4">
        <f>-SUM(X4:AI4,U4)</f>
        <v>9.0465580930199998</v>
      </c>
      <c r="AQ4">
        <f>-SUM(Y4:AI4)</f>
        <v>1.9336393735200001</v>
      </c>
      <c r="AR4">
        <f>AP4/AJ4</f>
        <v>-0.98577221590120834</v>
      </c>
      <c r="AS4">
        <f>AJ4/T4</f>
        <v>1.0244002651749768</v>
      </c>
      <c r="AT4">
        <f>W4/SUM(V4:W4)</f>
        <v>0.38512616201859234</v>
      </c>
      <c r="AU4">
        <f>V4/SUM(V4:W4)</f>
        <v>0.61487383798140771</v>
      </c>
      <c r="AV4">
        <f>SUM(Z4:AI4,X4)/AP4</f>
        <v>-3.5778368932349314E-2</v>
      </c>
      <c r="AW4">
        <f>SUM(Y4,U4)/AP4</f>
        <v>-0.96422163106765069</v>
      </c>
    </row>
    <row r="5" spans="1:49" s="2" customFormat="1" x14ac:dyDescent="0.2">
      <c r="A5" s="2">
        <v>-1.13811</v>
      </c>
      <c r="B5" s="2">
        <v>-12.24855</v>
      </c>
      <c r="C5" s="86">
        <v>0.32479999999999998</v>
      </c>
      <c r="D5" s="86">
        <v>0.39900999999999998</v>
      </c>
      <c r="E5" s="86">
        <v>8.1099999999999992E-3</v>
      </c>
      <c r="F5" s="86">
        <v>4.3299999999999996E-3</v>
      </c>
      <c r="G5" s="86">
        <v>1.3799999999999999E-3</v>
      </c>
      <c r="H5" s="86">
        <v>0.15315000000000001</v>
      </c>
      <c r="I5" s="86">
        <v>5.5300000000000002E-2</v>
      </c>
      <c r="J5" s="86">
        <v>6.1599999999999997E-3</v>
      </c>
      <c r="K5" s="86">
        <v>1.6999999999999999E-3</v>
      </c>
      <c r="L5" s="86">
        <v>1.5499999999999999E-3</v>
      </c>
      <c r="M5" s="86">
        <v>7.5767200000000003E-4</v>
      </c>
      <c r="N5" s="86">
        <v>8.8800000000000007E-3</v>
      </c>
      <c r="O5" s="86">
        <v>1.1100000000000001E-3</v>
      </c>
      <c r="P5" s="86"/>
      <c r="Q5" s="86">
        <v>4.1812499999999999E-4</v>
      </c>
      <c r="R5" s="86"/>
      <c r="S5" s="84">
        <f t="shared" ref="S5:S13" si="2">SUM(D5:R5)</f>
        <v>0.64185579700000017</v>
      </c>
      <c r="T5" s="2">
        <f t="shared" ref="T5:AF5" si="3">$B$5*C5</f>
        <v>-3.9783290399999998</v>
      </c>
      <c r="U5" s="2">
        <f t="shared" si="3"/>
        <v>-4.8872939354999998</v>
      </c>
      <c r="V5" s="2">
        <f t="shared" si="3"/>
        <v>-9.9335740499999992E-2</v>
      </c>
      <c r="W5" s="2">
        <f t="shared" si="3"/>
        <v>-5.3036221499999994E-2</v>
      </c>
      <c r="X5" s="2">
        <f t="shared" si="3"/>
        <v>-1.6902998999999998E-2</v>
      </c>
      <c r="Y5" s="2">
        <f t="shared" si="3"/>
        <v>-1.8758654325000002</v>
      </c>
      <c r="Z5" s="2">
        <f t="shared" si="3"/>
        <v>-0.67734481499999999</v>
      </c>
      <c r="AA5" s="2">
        <f t="shared" si="3"/>
        <v>-7.5451067999999996E-2</v>
      </c>
      <c r="AB5" s="2">
        <f t="shared" si="3"/>
        <v>-2.0822535E-2</v>
      </c>
      <c r="AC5" s="2">
        <f t="shared" si="3"/>
        <v>-1.8985252499999997E-2</v>
      </c>
      <c r="AD5" s="3">
        <f t="shared" si="3"/>
        <v>-9.2803833756000004E-3</v>
      </c>
      <c r="AE5" s="2">
        <f t="shared" si="3"/>
        <v>-0.10876712400000001</v>
      </c>
      <c r="AF5" s="2">
        <f t="shared" si="3"/>
        <v>-1.3595890500000001E-2</v>
      </c>
      <c r="AH5" s="3">
        <f>$B$5*Q5</f>
        <v>-5.1214249687499998E-3</v>
      </c>
      <c r="AJ5">
        <f>SUM(U5:AI5)</f>
        <v>-7.8618028223443499</v>
      </c>
      <c r="AK5">
        <f t="shared" ref="AK5:AK13" si="4">(U5/1000*4.5*36000/(8*96485)+V5/1000*4.5*36000/(2*96485)+W5/1000*4.5*36000/(2*96485)+X5/1000*4.5*36000/(6*96485)+Y5/1000*2*4.5*36000/(12*96485)+Z5/1000*2*4.5*36000/(12*96485)+AA5/1000*2*4.5*36000/(8*96485)+AB5/1000*2*4.5*36000/(10*96485)+AC5/1000*2*4.5*36000/(10*96485)+AD5/1000*2*4.5*36000/(12*96485)+AE5/1000*3*4.5*36000/(18*96485)+AF5/1000*3*4.5*36000/(16*96485)+AG5/1000*3*4.5*36000/(16*96485)+AH5/1000*3*4.5*36000/(16*96485)+AI5/1000*3*4.5*36000/(14*96485))/10</f>
        <v>-1.9568249002112188E-4</v>
      </c>
      <c r="AL5">
        <f t="shared" ref="AL5:AL10" si="5">SUM(Y5:AI5)/AP5</f>
        <v>-0.36387043047157586</v>
      </c>
      <c r="AM5">
        <f t="shared" ref="AM5:AM12" si="6">-W5</f>
        <v>5.3036221499999994E-2</v>
      </c>
      <c r="AN5">
        <f t="shared" ref="AN5:AN12" si="7">-V5</f>
        <v>9.9335740499999992E-2</v>
      </c>
      <c r="AO5">
        <f t="shared" si="1"/>
        <v>4.9041969344999998</v>
      </c>
      <c r="AP5">
        <f t="shared" ref="AP5:AP13" si="8">-SUM(X5:AI5,U5)</f>
        <v>7.7094308603443498</v>
      </c>
      <c r="AQ5">
        <f t="shared" ref="AQ5:AQ13" si="9">-SUM(Y5:AI5)</f>
        <v>2.8052339258443499</v>
      </c>
      <c r="AR5">
        <f t="shared" ref="AR5:AR13" si="10">AP5/AJ5</f>
        <v>-0.98061869962358539</v>
      </c>
      <c r="AS5">
        <f t="shared" ref="AS5:AS13" si="11">AJ5/T5</f>
        <v>1.9761570104679804</v>
      </c>
      <c r="AT5">
        <f t="shared" ref="AT5:AT13" si="12">W5/SUM(V5:W5)</f>
        <v>0.34807073954983925</v>
      </c>
      <c r="AU5">
        <f t="shared" ref="AU5:AU13" si="13">V5/SUM(V5:W5)</f>
        <v>0.65192926045016086</v>
      </c>
      <c r="AV5">
        <f t="shared" ref="AV5:AV11" si="14">SUM(Z5:AI5,X5)/AP5</f>
        <v>-0.12274206870597498</v>
      </c>
      <c r="AW5">
        <f t="shared" ref="AW5:AW12" si="15">SUM(Y5,U5)/AP5</f>
        <v>-0.87725793129402507</v>
      </c>
    </row>
    <row r="6" spans="1:49" x14ac:dyDescent="0.2">
      <c r="A6">
        <v>-1.09361</v>
      </c>
      <c r="B6">
        <v>-9.2255000000000003</v>
      </c>
      <c r="C6" s="84">
        <v>0.22202</v>
      </c>
      <c r="D6" s="84">
        <v>0.29610999999999998</v>
      </c>
      <c r="E6" s="84">
        <v>1.417E-2</v>
      </c>
      <c r="F6" s="84">
        <v>6.3099999999999996E-3</v>
      </c>
      <c r="G6" s="84">
        <v>4.0547100000000002E-4</v>
      </c>
      <c r="H6" s="84">
        <v>0.20949000000000001</v>
      </c>
      <c r="I6" s="84">
        <v>9.2050000000000007E-2</v>
      </c>
      <c r="J6" s="84">
        <v>3.5100000000000001E-3</v>
      </c>
      <c r="K6" s="84">
        <v>2.6199999999999999E-3</v>
      </c>
      <c r="L6" s="84">
        <v>2.32E-3</v>
      </c>
      <c r="M6" s="84">
        <v>1.4499999999999999E-3</v>
      </c>
      <c r="N6" s="84">
        <v>2.0820000000000002E-2</v>
      </c>
      <c r="O6" s="84">
        <v>8.7100000000000007E-3</v>
      </c>
      <c r="P6" s="84"/>
      <c r="Q6" s="84">
        <v>7.73466E-4</v>
      </c>
      <c r="R6" s="84"/>
      <c r="S6" s="84">
        <f t="shared" si="2"/>
        <v>0.65873893699999975</v>
      </c>
      <c r="T6">
        <f>$B$6*C6</f>
        <v>-2.0482455100000001</v>
      </c>
      <c r="U6">
        <f t="shared" ref="U6:AH6" si="16">$B$6*D6</f>
        <v>-2.7317628049999998</v>
      </c>
      <c r="V6">
        <f t="shared" si="16"/>
        <v>-0.130725335</v>
      </c>
      <c r="W6">
        <f t="shared" si="16"/>
        <v>-5.8212904999999995E-2</v>
      </c>
      <c r="X6">
        <f t="shared" si="16"/>
        <v>-3.7406727105000004E-3</v>
      </c>
      <c r="Y6">
        <f t="shared" si="16"/>
        <v>-1.9326499950000002</v>
      </c>
      <c r="Z6">
        <f t="shared" si="16"/>
        <v>-0.84920727500000004</v>
      </c>
      <c r="AA6">
        <f t="shared" si="16"/>
        <v>-3.2381505000000005E-2</v>
      </c>
      <c r="AB6">
        <f t="shared" si="16"/>
        <v>-2.4170810000000001E-2</v>
      </c>
      <c r="AC6">
        <f t="shared" si="16"/>
        <v>-2.1403160000000001E-2</v>
      </c>
      <c r="AD6">
        <f t="shared" si="16"/>
        <v>-1.3376974999999999E-2</v>
      </c>
      <c r="AE6">
        <f t="shared" si="16"/>
        <v>-0.19207491000000002</v>
      </c>
      <c r="AF6">
        <f t="shared" si="16"/>
        <v>-8.0354105000000009E-2</v>
      </c>
      <c r="AH6">
        <f t="shared" si="16"/>
        <v>-7.1356105830000004E-3</v>
      </c>
      <c r="AJ6">
        <f t="shared" ref="AJ6:AJ13" si="17">SUM(U6:AI6)</f>
        <v>-6.0771960632935</v>
      </c>
      <c r="AK6">
        <f t="shared" si="4"/>
        <v>-1.6253934526689858E-4</v>
      </c>
      <c r="AL6">
        <f t="shared" si="5"/>
        <v>-0.53543075731346956</v>
      </c>
      <c r="AM6">
        <f t="shared" si="6"/>
        <v>5.8212904999999995E-2</v>
      </c>
      <c r="AN6">
        <f t="shared" si="7"/>
        <v>0.130725335</v>
      </c>
      <c r="AO6">
        <f t="shared" si="1"/>
        <v>2.7355034777104996</v>
      </c>
      <c r="AP6">
        <f t="shared" si="8"/>
        <v>5.8882578232935003</v>
      </c>
      <c r="AQ6">
        <f t="shared" si="9"/>
        <v>3.1527543455830007</v>
      </c>
      <c r="AR6">
        <f t="shared" si="10"/>
        <v>-0.96891029382099514</v>
      </c>
      <c r="AS6">
        <f t="shared" si="11"/>
        <v>2.9670252094405907</v>
      </c>
      <c r="AT6">
        <f t="shared" si="12"/>
        <v>0.30810546875</v>
      </c>
      <c r="AU6">
        <f t="shared" si="13"/>
        <v>0.69189453125000011</v>
      </c>
      <c r="AV6">
        <f t="shared" si="14"/>
        <v>-0.20784501290892229</v>
      </c>
      <c r="AW6">
        <f t="shared" si="15"/>
        <v>-0.79215498709107768</v>
      </c>
    </row>
    <row r="7" spans="1:49" x14ac:dyDescent="0.2">
      <c r="A7">
        <v>-1.0543899999999999</v>
      </c>
      <c r="B7">
        <v>-5.9097499999999998</v>
      </c>
      <c r="C7" s="84">
        <v>0.22605</v>
      </c>
      <c r="D7" s="84">
        <v>0.24409</v>
      </c>
      <c r="E7" s="84">
        <v>2.0469999999999999E-2</v>
      </c>
      <c r="F7" s="84">
        <v>1.073E-2</v>
      </c>
      <c r="G7" s="84">
        <v>1.9321900000000001E-4</v>
      </c>
      <c r="H7" s="84">
        <v>0.25977</v>
      </c>
      <c r="I7" s="84">
        <v>9.7489999999999993E-2</v>
      </c>
      <c r="J7" s="84">
        <v>2.7899999999999999E-3</v>
      </c>
      <c r="K7" s="84">
        <v>3.4399999999999999E-3</v>
      </c>
      <c r="L7" s="84">
        <v>2.99E-3</v>
      </c>
      <c r="M7" s="84">
        <v>1.2700000000000001E-3</v>
      </c>
      <c r="N7" s="84">
        <v>2.5350000000000001E-2</v>
      </c>
      <c r="O7" s="84">
        <v>1.166E-2</v>
      </c>
      <c r="P7" s="84">
        <v>0</v>
      </c>
      <c r="Q7" s="84">
        <v>8.2078200000000004E-4</v>
      </c>
      <c r="R7" s="84"/>
      <c r="S7" s="84">
        <f t="shared" si="2"/>
        <v>0.68106400100000009</v>
      </c>
      <c r="T7">
        <f>$B$7*C7</f>
        <v>-1.3358989875</v>
      </c>
      <c r="U7">
        <f t="shared" ref="U7:AH7" si="18">$B$7*D7</f>
        <v>-1.4425108775</v>
      </c>
      <c r="V7">
        <f t="shared" si="18"/>
        <v>-0.12097258249999999</v>
      </c>
      <c r="W7">
        <f t="shared" si="18"/>
        <v>-6.3411617500000003E-2</v>
      </c>
      <c r="X7">
        <f t="shared" si="18"/>
        <v>-1.14187598525E-3</v>
      </c>
      <c r="Y7">
        <f t="shared" si="18"/>
        <v>-1.5351757575</v>
      </c>
      <c r="Z7">
        <f t="shared" si="18"/>
        <v>-0.57614152749999992</v>
      </c>
      <c r="AA7">
        <f t="shared" si="18"/>
        <v>-1.64882025E-2</v>
      </c>
      <c r="AB7">
        <f t="shared" si="18"/>
        <v>-2.032954E-2</v>
      </c>
      <c r="AC7">
        <f t="shared" si="18"/>
        <v>-1.7670152500000001E-2</v>
      </c>
      <c r="AD7">
        <f t="shared" si="18"/>
        <v>-7.5053825000000003E-3</v>
      </c>
      <c r="AE7">
        <f t="shared" si="18"/>
        <v>-0.14981216250000001</v>
      </c>
      <c r="AF7">
        <f t="shared" si="18"/>
        <v>-6.8907684999999996E-2</v>
      </c>
      <c r="AH7">
        <f t="shared" si="18"/>
        <v>-4.8506164244999997E-3</v>
      </c>
      <c r="AJ7">
        <f t="shared" si="17"/>
        <v>-4.0249179799097501</v>
      </c>
      <c r="AK7">
        <f t="shared" si="4"/>
        <v>-1.1356097546250292E-4</v>
      </c>
      <c r="AL7">
        <f t="shared" si="5"/>
        <v>-0.62410101402123985</v>
      </c>
      <c r="AM7">
        <f t="shared" si="6"/>
        <v>6.3411617500000003E-2</v>
      </c>
      <c r="AN7">
        <f t="shared" si="7"/>
        <v>0.12097258249999999</v>
      </c>
      <c r="AO7">
        <f t="shared" si="1"/>
        <v>1.4436527534852499</v>
      </c>
      <c r="AP7">
        <f t="shared" si="8"/>
        <v>3.8405337799097508</v>
      </c>
      <c r="AQ7">
        <f t="shared" si="9"/>
        <v>2.3968810264245008</v>
      </c>
      <c r="AR7">
        <f t="shared" si="10"/>
        <v>-0.95418932735515427</v>
      </c>
      <c r="AS7">
        <f t="shared" si="11"/>
        <v>3.0128909577527097</v>
      </c>
      <c r="AT7">
        <f t="shared" si="12"/>
        <v>0.34391025641025641</v>
      </c>
      <c r="AU7">
        <f t="shared" si="13"/>
        <v>0.65608974358974359</v>
      </c>
      <c r="AV7">
        <f t="shared" si="14"/>
        <v>-0.22466854722731433</v>
      </c>
      <c r="AW7">
        <f t="shared" si="15"/>
        <v>-0.77533145277268545</v>
      </c>
    </row>
    <row r="8" spans="1:49" x14ac:dyDescent="0.2">
      <c r="A8">
        <v>-1.0129699999999999</v>
      </c>
      <c r="B8">
        <v>-3.5654300000000001</v>
      </c>
      <c r="C8" s="84">
        <v>0.25394</v>
      </c>
      <c r="D8" s="84">
        <v>0.17426</v>
      </c>
      <c r="E8" s="84">
        <v>0.10736</v>
      </c>
      <c r="F8" s="84">
        <v>4.0329999999999998E-2</v>
      </c>
      <c r="G8" s="84">
        <v>2.8956400000000002E-4</v>
      </c>
      <c r="H8" s="84">
        <v>0.17926</v>
      </c>
      <c r="I8" s="84">
        <v>5.629E-2</v>
      </c>
      <c r="J8" s="84">
        <v>1.20893E-4</v>
      </c>
      <c r="K8" s="84">
        <v>1.72E-3</v>
      </c>
      <c r="L8" s="84">
        <v>2.4499999999999999E-3</v>
      </c>
      <c r="M8" s="84">
        <v>1.42E-3</v>
      </c>
      <c r="N8" s="84">
        <v>4.0099999999999997E-2</v>
      </c>
      <c r="O8" s="84">
        <v>1.6209999999999999E-2</v>
      </c>
      <c r="P8" s="84">
        <v>4.7699999999999999E-3</v>
      </c>
      <c r="Q8" s="84">
        <v>2.32747E-4</v>
      </c>
      <c r="R8" s="84">
        <v>3.7659299999999999E-4</v>
      </c>
      <c r="S8" s="84">
        <f t="shared" si="2"/>
        <v>0.62518979699999988</v>
      </c>
      <c r="T8">
        <f>$B$8*C8</f>
        <v>-0.90540529420000004</v>
      </c>
      <c r="U8">
        <f t="shared" ref="U8:AI8" si="19">$B$8*D8</f>
        <v>-0.62131183180000005</v>
      </c>
      <c r="V8">
        <f t="shared" si="19"/>
        <v>-0.3827845648</v>
      </c>
      <c r="W8">
        <f t="shared" si="19"/>
        <v>-0.1437937919</v>
      </c>
      <c r="X8">
        <f t="shared" si="19"/>
        <v>-1.0324201725200001E-3</v>
      </c>
      <c r="Y8">
        <f t="shared" si="19"/>
        <v>-0.63913898180000006</v>
      </c>
      <c r="Z8">
        <f t="shared" si="19"/>
        <v>-0.20069805470000002</v>
      </c>
      <c r="AA8">
        <f t="shared" si="19"/>
        <v>-4.3103552898999999E-4</v>
      </c>
      <c r="AB8">
        <f t="shared" si="19"/>
        <v>-6.1325396000000004E-3</v>
      </c>
      <c r="AC8">
        <f t="shared" si="19"/>
        <v>-8.7353034999999996E-3</v>
      </c>
      <c r="AD8">
        <f t="shared" si="19"/>
        <v>-5.0629106000000005E-3</v>
      </c>
      <c r="AE8">
        <f t="shared" si="19"/>
        <v>-0.14297374299999999</v>
      </c>
      <c r="AF8">
        <f t="shared" si="19"/>
        <v>-5.7795620299999996E-2</v>
      </c>
      <c r="AG8">
        <f t="shared" si="19"/>
        <v>-1.7007101100000001E-2</v>
      </c>
      <c r="AH8">
        <f t="shared" si="19"/>
        <v>-8.2984313621000002E-4</v>
      </c>
      <c r="AI8">
        <f t="shared" si="19"/>
        <v>-1.3427159799899999E-3</v>
      </c>
      <c r="AJ8">
        <f t="shared" si="17"/>
        <v>-2.2290704579177105</v>
      </c>
      <c r="AK8">
        <f t="shared" si="4"/>
        <v>-8.7866509916901105E-5</v>
      </c>
      <c r="AL8">
        <f t="shared" si="5"/>
        <v>-0.63445101946294635</v>
      </c>
      <c r="AM8">
        <f t="shared" si="6"/>
        <v>0.1437937919</v>
      </c>
      <c r="AN8">
        <f t="shared" si="7"/>
        <v>0.3827845648</v>
      </c>
      <c r="AO8">
        <f t="shared" si="1"/>
        <v>0.62234425197252008</v>
      </c>
      <c r="AP8">
        <f t="shared" si="8"/>
        <v>1.7024921012177101</v>
      </c>
      <c r="AQ8">
        <f t="shared" si="9"/>
        <v>1.0801478492451899</v>
      </c>
      <c r="AR8">
        <f t="shared" si="10"/>
        <v>-0.76376773787944574</v>
      </c>
      <c r="AS8">
        <f t="shared" si="11"/>
        <v>2.4619587185949441</v>
      </c>
      <c r="AT8">
        <f t="shared" si="12"/>
        <v>0.27307197508294401</v>
      </c>
      <c r="AU8">
        <f t="shared" si="13"/>
        <v>0.72692802491705599</v>
      </c>
      <c r="AV8">
        <f t="shared" si="14"/>
        <v>-0.25964366430924363</v>
      </c>
      <c r="AW8">
        <f t="shared" si="15"/>
        <v>-0.74035633569075632</v>
      </c>
    </row>
    <row r="9" spans="1:49" x14ac:dyDescent="0.2">
      <c r="A9">
        <v>-0.95526</v>
      </c>
      <c r="B9">
        <v>-1.90625</v>
      </c>
      <c r="C9" s="84">
        <v>0.30203000000000002</v>
      </c>
      <c r="D9" s="84">
        <v>3.015E-2</v>
      </c>
      <c r="E9" s="84">
        <v>0.17374000000000001</v>
      </c>
      <c r="F9" s="84">
        <v>6.6239999999999993E-2</v>
      </c>
      <c r="G9" s="84">
        <v>1.09E-3</v>
      </c>
      <c r="H9" s="84">
        <v>0.10206</v>
      </c>
      <c r="I9" s="84">
        <v>2.496E-2</v>
      </c>
      <c r="J9" s="84"/>
      <c r="K9" s="84">
        <v>1.3699999999999999E-3</v>
      </c>
      <c r="L9" s="84">
        <v>8.8606399999999999E-4</v>
      </c>
      <c r="M9" s="84">
        <v>2.8336099999999999E-4</v>
      </c>
      <c r="N9" s="84">
        <v>2.6849999999999999E-2</v>
      </c>
      <c r="O9" s="84">
        <v>2.4099999999999998E-3</v>
      </c>
      <c r="P9" s="84">
        <v>4.4799999999999996E-3</v>
      </c>
      <c r="Q9" s="84">
        <v>1.3595999999999999E-4</v>
      </c>
      <c r="R9" s="84"/>
      <c r="S9" s="84">
        <f t="shared" si="2"/>
        <v>0.43465538499999989</v>
      </c>
      <c r="T9">
        <f>$B$9*C9</f>
        <v>-0.57574468750000007</v>
      </c>
      <c r="U9">
        <f t="shared" ref="U9:AH9" si="20">$B$9*D9</f>
        <v>-5.7473437500000002E-2</v>
      </c>
      <c r="V9">
        <f t="shared" si="20"/>
        <v>-0.33119187500000002</v>
      </c>
      <c r="W9">
        <f t="shared" si="20"/>
        <v>-0.12626999999999999</v>
      </c>
      <c r="X9">
        <f t="shared" si="20"/>
        <v>-2.0778125000000002E-3</v>
      </c>
      <c r="Y9">
        <f t="shared" si="20"/>
        <v>-0.19455187499999999</v>
      </c>
      <c r="Z9">
        <f t="shared" si="20"/>
        <v>-4.7579999999999997E-2</v>
      </c>
      <c r="AB9">
        <f t="shared" si="20"/>
        <v>-2.6115624999999997E-3</v>
      </c>
      <c r="AC9">
        <f t="shared" si="20"/>
        <v>-1.6890595000000001E-3</v>
      </c>
      <c r="AD9">
        <f t="shared" si="20"/>
        <v>-5.4015690624999993E-4</v>
      </c>
      <c r="AE9">
        <f t="shared" si="20"/>
        <v>-5.1182812500000001E-2</v>
      </c>
      <c r="AF9">
        <f t="shared" si="20"/>
        <v>-4.5940625000000001E-3</v>
      </c>
      <c r="AG9">
        <f t="shared" si="20"/>
        <v>-8.539999999999999E-3</v>
      </c>
      <c r="AH9">
        <f t="shared" si="20"/>
        <v>-2.5917375000000001E-4</v>
      </c>
      <c r="AJ9">
        <f t="shared" si="17"/>
        <v>-0.82856182765624997</v>
      </c>
      <c r="AK9">
        <f t="shared" si="4"/>
        <v>-4.8457885085492568E-5</v>
      </c>
      <c r="AL9">
        <f t="shared" si="5"/>
        <v>-0.83952773484947774</v>
      </c>
      <c r="AM9">
        <f t="shared" si="6"/>
        <v>0.12626999999999999</v>
      </c>
      <c r="AN9">
        <f t="shared" si="7"/>
        <v>0.33119187500000002</v>
      </c>
      <c r="AO9">
        <f t="shared" si="1"/>
        <v>5.955125E-2</v>
      </c>
      <c r="AP9">
        <f t="shared" si="8"/>
        <v>0.37109995265625001</v>
      </c>
      <c r="AQ9">
        <f t="shared" si="9"/>
        <v>0.31154870265625001</v>
      </c>
      <c r="AR9">
        <f t="shared" si="10"/>
        <v>-0.44788444298234109</v>
      </c>
      <c r="AS9">
        <f t="shared" si="11"/>
        <v>1.4391132834486637</v>
      </c>
      <c r="AT9">
        <f t="shared" si="12"/>
        <v>0.27602300191682638</v>
      </c>
      <c r="AU9">
        <f t="shared" si="13"/>
        <v>0.72397699808317362</v>
      </c>
      <c r="AV9">
        <f t="shared" si="14"/>
        <v>-0.32086945660849719</v>
      </c>
      <c r="AW9">
        <f t="shared" si="15"/>
        <v>-0.67913054339150269</v>
      </c>
    </row>
    <row r="10" spans="1:49" x14ac:dyDescent="0.2">
      <c r="A10">
        <v>-0.88722000000000001</v>
      </c>
      <c r="B10">
        <v>-1.2306999999999999</v>
      </c>
      <c r="C10" s="84">
        <v>0.37658000000000003</v>
      </c>
      <c r="D10" s="84">
        <v>7.3400000000000002E-3</v>
      </c>
      <c r="E10" s="84">
        <v>0.24601000000000001</v>
      </c>
      <c r="F10" s="84">
        <v>8.7359999999999993E-2</v>
      </c>
      <c r="G10" s="84"/>
      <c r="H10" s="84">
        <v>3.6339999999999997E-2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>
        <f t="shared" si="2"/>
        <v>0.37705</v>
      </c>
      <c r="T10">
        <f>$B$10*C10</f>
        <v>-0.463457006</v>
      </c>
      <c r="U10">
        <f>$B$10*D10</f>
        <v>-9.0333380000000001E-3</v>
      </c>
      <c r="V10">
        <f>$B$10*E10</f>
        <v>-0.30276450699999996</v>
      </c>
      <c r="W10">
        <f>$B$10*F10</f>
        <v>-0.10751395199999998</v>
      </c>
      <c r="Y10">
        <f>$B$10*H10</f>
        <v>-4.4723637999999996E-2</v>
      </c>
      <c r="AJ10">
        <f t="shared" si="17"/>
        <v>-0.46403543499999994</v>
      </c>
      <c r="AK10">
        <f t="shared" si="4"/>
        <v>-3.5884353525936665E-5</v>
      </c>
      <c r="AL10">
        <f t="shared" si="5"/>
        <v>-0.83195970695970689</v>
      </c>
      <c r="AM10">
        <f t="shared" si="6"/>
        <v>0.10751395199999998</v>
      </c>
      <c r="AN10">
        <f t="shared" si="7"/>
        <v>0.30276450699999996</v>
      </c>
      <c r="AO10">
        <f t="shared" si="1"/>
        <v>9.0333380000000001E-3</v>
      </c>
      <c r="AP10">
        <f t="shared" si="8"/>
        <v>5.3756975999999998E-2</v>
      </c>
      <c r="AQ10">
        <f t="shared" si="9"/>
        <v>4.4723637999999996E-2</v>
      </c>
      <c r="AR10">
        <f t="shared" si="10"/>
        <v>-0.11584670468107679</v>
      </c>
      <c r="AS10">
        <f t="shared" si="11"/>
        <v>1.0012480747782675</v>
      </c>
      <c r="AT10">
        <f t="shared" si="12"/>
        <v>0.26205117437081921</v>
      </c>
      <c r="AU10">
        <f t="shared" si="13"/>
        <v>0.73794882562918085</v>
      </c>
      <c r="AV10" t="e">
        <f>SUM(Z10:AI10,#REF!)/AP10</f>
        <v>#REF!</v>
      </c>
      <c r="AW10">
        <f t="shared" si="15"/>
        <v>-1</v>
      </c>
    </row>
    <row r="11" spans="1:49" x14ac:dyDescent="0.2">
      <c r="A11">
        <v>-0.81723999999999997</v>
      </c>
      <c r="B11">
        <v>-0.85811000000000004</v>
      </c>
      <c r="C11" s="84">
        <v>0.43763000000000002</v>
      </c>
      <c r="D11" s="84">
        <v>1.39E-3</v>
      </c>
      <c r="E11" s="84">
        <v>0.22705</v>
      </c>
      <c r="F11" s="84">
        <v>7.6359999999999997E-2</v>
      </c>
      <c r="G11" s="84"/>
      <c r="H11" s="84">
        <v>1.8429999999999998E-2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>
        <f t="shared" si="2"/>
        <v>0.32323000000000002</v>
      </c>
      <c r="T11">
        <f>$B$11*C11</f>
        <v>-0.37553467930000001</v>
      </c>
      <c r="U11">
        <f>$B$11*D11</f>
        <v>-1.1927729E-3</v>
      </c>
      <c r="V11">
        <f>$B$11*E11</f>
        <v>-0.1948338755</v>
      </c>
      <c r="W11">
        <f>$B$11*F11</f>
        <v>-6.55252796E-2</v>
      </c>
      <c r="Y11">
        <f>$B$11*H11</f>
        <v>-1.58149673E-2</v>
      </c>
      <c r="AJ11">
        <f t="shared" si="17"/>
        <v>-0.27736689529999997</v>
      </c>
      <c r="AK11">
        <f t="shared" si="4"/>
        <v>-2.232497210076696E-5</v>
      </c>
      <c r="AL11">
        <f>SUM(Y11:AI11)/AP11</f>
        <v>-0.92986881937436938</v>
      </c>
      <c r="AM11">
        <f t="shared" si="6"/>
        <v>6.55252796E-2</v>
      </c>
      <c r="AN11">
        <f t="shared" si="7"/>
        <v>0.1948338755</v>
      </c>
      <c r="AO11">
        <f t="shared" si="1"/>
        <v>1.1927729E-3</v>
      </c>
      <c r="AP11">
        <f t="shared" si="8"/>
        <v>1.70077402E-2</v>
      </c>
      <c r="AQ11">
        <f t="shared" si="9"/>
        <v>1.58149673E-2</v>
      </c>
      <c r="AR11">
        <f t="shared" si="10"/>
        <v>-6.1318565727191167E-2</v>
      </c>
      <c r="AS11">
        <f t="shared" si="11"/>
        <v>0.73859196124580118</v>
      </c>
      <c r="AT11">
        <f t="shared" si="12"/>
        <v>0.2516726541643321</v>
      </c>
      <c r="AU11">
        <f t="shared" si="13"/>
        <v>0.74832734583566785</v>
      </c>
      <c r="AV11">
        <f t="shared" si="14"/>
        <v>0</v>
      </c>
      <c r="AW11">
        <f t="shared" si="15"/>
        <v>-1</v>
      </c>
    </row>
    <row r="12" spans="1:49" x14ac:dyDescent="0.2">
      <c r="A12">
        <v>-0.74560999999999999</v>
      </c>
      <c r="B12">
        <v>-0.55220999999999998</v>
      </c>
      <c r="C12" s="84">
        <v>0.61814999999999998</v>
      </c>
      <c r="D12" s="84">
        <v>6.8334199999999998E-4</v>
      </c>
      <c r="E12" s="84">
        <v>0.19222</v>
      </c>
      <c r="F12" s="84">
        <v>0.1147</v>
      </c>
      <c r="G12" s="84"/>
      <c r="H12" s="84">
        <v>4.3099999999999996E-3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>
        <f t="shared" si="2"/>
        <v>0.31191334199999998</v>
      </c>
      <c r="T12">
        <f>$B$12*C12</f>
        <v>-0.34134861149999995</v>
      </c>
      <c r="U12">
        <f>$B$12*D12</f>
        <v>-3.7734828582E-4</v>
      </c>
      <c r="V12">
        <f>$B$12*E12</f>
        <v>-0.1061458062</v>
      </c>
      <c r="W12">
        <f>$B$12*F12</f>
        <v>-6.3338486999999999E-2</v>
      </c>
      <c r="Y12">
        <f>$B$12*H12</f>
        <v>-2.3800250999999996E-3</v>
      </c>
      <c r="AJ12">
        <f t="shared" si="17"/>
        <v>-0.17224166658581999</v>
      </c>
      <c r="AK12">
        <f t="shared" si="4"/>
        <v>-1.4302875814569991E-5</v>
      </c>
      <c r="AL12">
        <f>SUM(Y12:AI12)/AP12</f>
        <v>-0.86314936970069345</v>
      </c>
      <c r="AM12">
        <f t="shared" si="6"/>
        <v>6.3338486999999999E-2</v>
      </c>
      <c r="AN12">
        <f t="shared" si="7"/>
        <v>0.1061458062</v>
      </c>
      <c r="AO12">
        <f t="shared" si="1"/>
        <v>3.7734828582E-4</v>
      </c>
      <c r="AP12">
        <f>-SUM(X12:AI12,U12)</f>
        <v>2.7573733858199997E-3</v>
      </c>
      <c r="AQ12">
        <f t="shared" si="9"/>
        <v>2.3800250999999996E-3</v>
      </c>
      <c r="AR12">
        <f t="shared" si="10"/>
        <v>-1.6008747711728215E-2</v>
      </c>
      <c r="AS12">
        <f t="shared" si="11"/>
        <v>0.50459167192429022</v>
      </c>
      <c r="AT12">
        <f t="shared" si="12"/>
        <v>0.3737130196793953</v>
      </c>
      <c r="AU12">
        <f t="shared" si="13"/>
        <v>0.6262869803206047</v>
      </c>
      <c r="AV12" t="e">
        <f>SUM(Z12:AI12,#REF!)/AP12</f>
        <v>#REF!</v>
      </c>
      <c r="AW12">
        <f t="shared" si="15"/>
        <v>-1</v>
      </c>
    </row>
    <row r="13" spans="1:49" x14ac:dyDescent="0.2">
      <c r="A13">
        <v>-0.67218</v>
      </c>
      <c r="B13">
        <v>-0.39518999999999999</v>
      </c>
      <c r="C13" s="84">
        <v>0.76193999999999995</v>
      </c>
      <c r="D13" s="84"/>
      <c r="E13" s="84">
        <v>8.591E-2</v>
      </c>
      <c r="F13" s="84">
        <v>0.18365999999999999</v>
      </c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>
        <f t="shared" si="2"/>
        <v>0.26956999999999998</v>
      </c>
      <c r="T13">
        <f>$B$13*C13</f>
        <v>-0.30111106859999998</v>
      </c>
      <c r="V13">
        <f>$B$13*E13</f>
        <v>-3.3950772900000002E-2</v>
      </c>
      <c r="W13">
        <f>$B$13*F13</f>
        <v>-7.2580595399999989E-2</v>
      </c>
      <c r="AA13">
        <v>480</v>
      </c>
      <c r="AJ13">
        <f t="shared" si="17"/>
        <v>479.89346863169999</v>
      </c>
      <c r="AK13">
        <f t="shared" si="4"/>
        <v>2.013926616486262E-2</v>
      </c>
      <c r="AP13">
        <f t="shared" si="8"/>
        <v>-480</v>
      </c>
      <c r="AQ13">
        <f t="shared" si="9"/>
        <v>-480</v>
      </c>
      <c r="AR13">
        <f t="shared" si="10"/>
        <v>-1.0002219896190789</v>
      </c>
      <c r="AS13">
        <f t="shared" si="11"/>
        <v>-1593.7423717531851</v>
      </c>
      <c r="AT13">
        <f t="shared" si="12"/>
        <v>0.68130726712913159</v>
      </c>
      <c r="AU13">
        <f t="shared" si="13"/>
        <v>0.31869273287086847</v>
      </c>
    </row>
    <row r="15" spans="1:49" s="7" customFormat="1" x14ac:dyDescent="0.2">
      <c r="A15" s="95" t="s">
        <v>170</v>
      </c>
      <c r="E15" s="7" t="s">
        <v>165</v>
      </c>
      <c r="M15" s="7" t="s">
        <v>161</v>
      </c>
      <c r="Q15" s="7" t="s">
        <v>166</v>
      </c>
      <c r="AB15" s="7" t="s">
        <v>156</v>
      </c>
      <c r="AC15" s="7" t="s">
        <v>153</v>
      </c>
      <c r="AD15" s="7" t="s">
        <v>154</v>
      </c>
      <c r="AG15" s="7" t="s">
        <v>146</v>
      </c>
      <c r="AH15" s="7" t="s">
        <v>159</v>
      </c>
      <c r="AM15" s="7" t="s">
        <v>160</v>
      </c>
      <c r="AN15" s="7" t="s">
        <v>149</v>
      </c>
      <c r="AO15" s="7" t="s">
        <v>173</v>
      </c>
      <c r="AP15" s="7" t="s">
        <v>174</v>
      </c>
      <c r="AQ15" s="7" t="s">
        <v>175</v>
      </c>
      <c r="AR15" s="7" t="s">
        <v>176</v>
      </c>
      <c r="AS15" s="7" t="s">
        <v>177</v>
      </c>
      <c r="AT15" s="7" t="s">
        <v>150</v>
      </c>
    </row>
    <row r="16" spans="1:49" s="7" customFormat="1" x14ac:dyDescent="0.2">
      <c r="A16" s="7">
        <f>LOG10(T4*-1)</f>
        <v>0.95223712081327794</v>
      </c>
      <c r="E16" s="7" t="s">
        <v>114</v>
      </c>
      <c r="G16" s="7" t="s">
        <v>97</v>
      </c>
      <c r="H16" s="7" t="s">
        <v>42</v>
      </c>
      <c r="I16" s="7" t="s">
        <v>98</v>
      </c>
      <c r="J16" s="7" t="s">
        <v>82</v>
      </c>
      <c r="K16" s="7" t="s">
        <v>99</v>
      </c>
      <c r="L16" s="7" t="s">
        <v>112</v>
      </c>
      <c r="M16" s="7" t="s">
        <v>100</v>
      </c>
      <c r="N16" s="7" t="s">
        <v>68</v>
      </c>
      <c r="R16" s="7" t="s">
        <v>142</v>
      </c>
      <c r="S16" s="7" t="s">
        <v>45</v>
      </c>
      <c r="T16" s="7" t="s">
        <v>141</v>
      </c>
      <c r="U16" s="7" t="s">
        <v>42</v>
      </c>
      <c r="V16" s="7" t="s">
        <v>98</v>
      </c>
      <c r="W16" s="7" t="s">
        <v>5</v>
      </c>
      <c r="X16" s="7" t="s">
        <v>82</v>
      </c>
      <c r="Y16" s="7" t="s">
        <v>99</v>
      </c>
      <c r="Z16" s="7" t="s">
        <v>44</v>
      </c>
      <c r="AA16" s="7" t="s">
        <v>164</v>
      </c>
      <c r="AB16" s="7" t="s">
        <v>150</v>
      </c>
      <c r="AC16" s="7" t="s">
        <v>151</v>
      </c>
      <c r="AD16" s="7" t="s">
        <v>143</v>
      </c>
      <c r="AE16" s="7" t="s">
        <v>163</v>
      </c>
      <c r="AF16" s="7" t="s">
        <v>171</v>
      </c>
      <c r="AH16" s="7" t="s">
        <v>46</v>
      </c>
      <c r="AI16" s="7" t="s">
        <v>82</v>
      </c>
      <c r="AJ16" s="7" t="s">
        <v>110</v>
      </c>
      <c r="AK16" s="7" t="s">
        <v>147</v>
      </c>
      <c r="AL16" s="7" t="s">
        <v>148</v>
      </c>
    </row>
    <row r="17" spans="1:46" s="7" customFormat="1" ht="16" x14ac:dyDescent="0.2">
      <c r="A17" s="7">
        <f t="shared" ref="A17:A25" si="21">LOG10(T5*-1)</f>
        <v>0.59970069994142294</v>
      </c>
      <c r="E17" s="7">
        <v>-0.25</v>
      </c>
      <c r="F17" s="7">
        <v>9.2200000000000004E-2</v>
      </c>
      <c r="G17" s="7">
        <v>17.899999999999999</v>
      </c>
      <c r="H17" s="7">
        <v>32.5</v>
      </c>
      <c r="I17" s="7">
        <v>0</v>
      </c>
      <c r="J17" s="7">
        <v>0</v>
      </c>
      <c r="K17" s="7">
        <v>0</v>
      </c>
      <c r="L17" s="7">
        <f>SUM(G17:K17)</f>
        <v>50.4</v>
      </c>
      <c r="M17" s="7">
        <f>F17*L17*0.01</f>
        <v>4.6468800000000005E-2</v>
      </c>
      <c r="N17" s="7">
        <f>M17/163</f>
        <v>2.8508466257668716E-4</v>
      </c>
      <c r="Q17" s="93">
        <v>-0.2</v>
      </c>
      <c r="R17" s="93">
        <v>9.2999999999999999E-2</v>
      </c>
      <c r="S17">
        <v>2.2000000000000002</v>
      </c>
      <c r="T17">
        <v>0</v>
      </c>
      <c r="U17" s="93">
        <v>0</v>
      </c>
      <c r="V17" s="93">
        <v>0</v>
      </c>
      <c r="W17" s="94">
        <v>20.7</v>
      </c>
      <c r="X17" s="94">
        <v>0</v>
      </c>
      <c r="Y17" s="94">
        <v>0</v>
      </c>
      <c r="Z17" s="7">
        <f>100-SUM(S17:Y17)</f>
        <v>77.099999999999994</v>
      </c>
      <c r="AA17" s="7">
        <f>(100-SUM(S17:Y17))*R17*0.01/$AA$13</f>
        <v>1.4938124999999998E-4</v>
      </c>
      <c r="AB17" s="7">
        <f>R17*S17*0.01/$AA$13</f>
        <v>4.2625000000000003E-6</v>
      </c>
      <c r="AC17" s="7">
        <f>R17*W17*0.01/$AA$13</f>
        <v>4.0106249999999996E-5</v>
      </c>
      <c r="AD17" s="7">
        <f>R17*SUM(T17,U17,V17,X17,Y17)*0.01</f>
        <v>0</v>
      </c>
      <c r="AE17" s="7">
        <f>AD17/$AA$13</f>
        <v>0</v>
      </c>
      <c r="AF17" s="7">
        <f t="shared" ref="AF17:AF22" si="22">R17*W17/(100*500)</f>
        <v>3.8501999999999998E-5</v>
      </c>
      <c r="AG17" s="7">
        <v>-0.80907326999999996</v>
      </c>
      <c r="AH17" s="7">
        <v>0.80211215999999996</v>
      </c>
      <c r="AI17" s="7">
        <v>3.9034474999999999E-2</v>
      </c>
      <c r="AJ17" s="7">
        <v>8.0222369999999998E-3</v>
      </c>
      <c r="AK17" s="7">
        <v>3.2782066999999998E-2</v>
      </c>
      <c r="AM17" s="7">
        <f>SUM(AI17:AL17)</f>
        <v>7.9838778999999999E-2</v>
      </c>
      <c r="AN17" s="7">
        <f t="shared" ref="AN17:AN25" si="23">SUM(AH17:AL17)</f>
        <v>0.88195093899999999</v>
      </c>
      <c r="AO17" s="7">
        <f>X17*0.01*R17/$AA$13</f>
        <v>0</v>
      </c>
      <c r="AP17" s="7">
        <f>Y17*R17*0.01/$AA$13</f>
        <v>0</v>
      </c>
      <c r="AQ17" s="7">
        <f>V17*R17*0.01/$AA$13</f>
        <v>0</v>
      </c>
      <c r="AR17" s="7">
        <f>U17*R17*0.01/$AA$13</f>
        <v>0</v>
      </c>
      <c r="AS17" s="7">
        <f>T17*R17*0.01/$AA$13</f>
        <v>0</v>
      </c>
      <c r="AT17" s="7">
        <f>S17*R17*0.01/$AA$13</f>
        <v>4.2625000000000003E-6</v>
      </c>
    </row>
    <row r="18" spans="1:46" s="7" customFormat="1" ht="16" x14ac:dyDescent="0.2">
      <c r="A18" s="7">
        <f t="shared" si="21"/>
        <v>0.31138201150684602</v>
      </c>
      <c r="E18" s="7">
        <v>-0.3</v>
      </c>
      <c r="F18" s="7">
        <v>0.28499999999999998</v>
      </c>
      <c r="G18" s="7">
        <v>13.6</v>
      </c>
      <c r="H18" s="7">
        <v>42.9</v>
      </c>
      <c r="I18" s="7">
        <v>0</v>
      </c>
      <c r="J18" s="7">
        <v>0.6</v>
      </c>
      <c r="K18" s="7">
        <v>0</v>
      </c>
      <c r="L18" s="7">
        <f t="shared" ref="L18:L22" si="24">SUM(G18:K18)</f>
        <v>57.1</v>
      </c>
      <c r="M18" s="7">
        <f t="shared" ref="M18:M22" si="25">F18*L18*0.01</f>
        <v>0.16273499999999999</v>
      </c>
      <c r="N18" s="7">
        <f t="shared" ref="N18:N22" si="26">M18/163</f>
        <v>9.9837423312883439E-4</v>
      </c>
      <c r="Q18">
        <v>-0.25</v>
      </c>
      <c r="R18">
        <v>0.154</v>
      </c>
      <c r="S18">
        <v>3</v>
      </c>
      <c r="T18">
        <v>0</v>
      </c>
      <c r="U18" s="93">
        <v>0</v>
      </c>
      <c r="V18" s="93">
        <v>0</v>
      </c>
      <c r="W18" s="7">
        <v>29</v>
      </c>
      <c r="X18" s="94">
        <v>0</v>
      </c>
      <c r="Y18" s="94">
        <v>0</v>
      </c>
      <c r="Z18" s="7">
        <f t="shared" ref="Z18:Z30" si="27">100-SUM(S18:Y18)</f>
        <v>68</v>
      </c>
      <c r="AA18" s="7">
        <f t="shared" ref="AA18:AA30" si="28">(100-SUM(S18:Y18))*R18*0.01/$AA$13</f>
        <v>2.1816666666666667E-4</v>
      </c>
      <c r="AB18" s="7">
        <f>R18*S18*0.01/$AA$13</f>
        <v>9.6250000000000002E-6</v>
      </c>
      <c r="AC18" s="7">
        <f t="shared" ref="AC18:AC30" si="29">R18*W18*0.01/$AA$13</f>
        <v>9.3041666666666674E-5</v>
      </c>
      <c r="AD18" s="7">
        <f t="shared" ref="AD17:AD30" si="30">R18*SUM(T18,U18,V18,X18,Y18)*0.01</f>
        <v>0</v>
      </c>
      <c r="AE18" s="7">
        <f t="shared" ref="AE18:AE30" si="31">AD18/$AA$13</f>
        <v>0</v>
      </c>
      <c r="AF18" s="7">
        <f t="shared" si="22"/>
        <v>8.9320000000000005E-5</v>
      </c>
      <c r="AG18" s="7">
        <v>-0.77359960000000005</v>
      </c>
      <c r="AH18" s="7">
        <v>0.16631481000000001</v>
      </c>
      <c r="AI18" s="7">
        <v>0.4204965</v>
      </c>
      <c r="AJ18" s="7">
        <v>0.14590686999999999</v>
      </c>
      <c r="AK18" s="7">
        <v>6.5783136000000006E-2</v>
      </c>
      <c r="AM18" s="7">
        <f t="shared" ref="AM18:AM25" si="32">SUM(AI18:AL18)</f>
        <v>0.63218650599999993</v>
      </c>
      <c r="AN18" s="7">
        <f t="shared" si="23"/>
        <v>0.79850131599999996</v>
      </c>
      <c r="AO18" s="7">
        <f t="shared" ref="AO18:AO30" si="33">X18*0.01*R18/$AA$13</f>
        <v>0</v>
      </c>
      <c r="AP18" s="7">
        <f t="shared" ref="AP18:AP30" si="34">Y18*R18*0.01/$AA$13</f>
        <v>0</v>
      </c>
      <c r="AQ18" s="7">
        <f t="shared" ref="AQ18:AQ30" si="35">V18*R18*0.01/$AA$13</f>
        <v>0</v>
      </c>
      <c r="AR18" s="7">
        <f t="shared" ref="AR18:AR30" si="36">U18*R18*0.01/$AA$13</f>
        <v>0</v>
      </c>
      <c r="AS18" s="7">
        <f t="shared" ref="AS18:AS30" si="37">T18*R18*0.01/$AA$13</f>
        <v>0</v>
      </c>
      <c r="AT18" s="7">
        <f t="shared" ref="AT18:AT30" si="38">S18*R18*0.01/$AA$13</f>
        <v>9.6250000000000002E-6</v>
      </c>
    </row>
    <row r="19" spans="1:46" s="7" customFormat="1" ht="16" x14ac:dyDescent="0.2">
      <c r="A19" s="7">
        <f t="shared" si="21"/>
        <v>0.12577362069201903</v>
      </c>
      <c r="E19" s="7">
        <v>-0.35</v>
      </c>
      <c r="F19" s="7">
        <v>0.626</v>
      </c>
      <c r="G19" s="7">
        <v>6.8</v>
      </c>
      <c r="H19" s="7">
        <v>35.799999999999997</v>
      </c>
      <c r="I19" s="7">
        <v>0</v>
      </c>
      <c r="J19" s="7">
        <v>1.2</v>
      </c>
      <c r="K19" s="7">
        <v>0</v>
      </c>
      <c r="L19" s="7">
        <f t="shared" si="24"/>
        <v>43.8</v>
      </c>
      <c r="M19" s="7">
        <f t="shared" si="25"/>
        <v>0.27418799999999999</v>
      </c>
      <c r="N19" s="7">
        <f t="shared" si="26"/>
        <v>1.6821349693251532E-3</v>
      </c>
      <c r="Q19" s="93">
        <v>-0.3</v>
      </c>
      <c r="R19">
        <v>0.38700000000000001</v>
      </c>
      <c r="S19">
        <v>5.5</v>
      </c>
      <c r="T19">
        <v>0</v>
      </c>
      <c r="U19" s="93">
        <v>0</v>
      </c>
      <c r="V19" s="93">
        <v>0</v>
      </c>
      <c r="W19" s="7">
        <v>39.299999999999997</v>
      </c>
      <c r="X19" s="94">
        <v>0</v>
      </c>
      <c r="Y19" s="94">
        <v>0</v>
      </c>
      <c r="Z19" s="7">
        <f t="shared" si="27"/>
        <v>55.2</v>
      </c>
      <c r="AA19" s="7">
        <f t="shared" si="28"/>
        <v>4.4505E-4</v>
      </c>
      <c r="AB19" s="7">
        <f t="shared" ref="AB19:AB30" si="39">R19*S19*0.01/$AA$13</f>
        <v>4.4343749999999997E-5</v>
      </c>
      <c r="AC19" s="7">
        <f t="shared" si="29"/>
        <v>3.1685624999999999E-4</v>
      </c>
      <c r="AD19" s="7">
        <f t="shared" si="30"/>
        <v>0</v>
      </c>
      <c r="AE19" s="7">
        <f t="shared" si="31"/>
        <v>0</v>
      </c>
      <c r="AF19" s="7">
        <f t="shared" si="22"/>
        <v>3.0418200000000001E-4</v>
      </c>
      <c r="AG19" s="7">
        <v>-0.72898770000000002</v>
      </c>
      <c r="AH19" s="7">
        <v>1.6234024999999999E-2</v>
      </c>
      <c r="AI19" s="7">
        <v>0.48340972999999998</v>
      </c>
      <c r="AJ19" s="7">
        <v>0.13483872999999999</v>
      </c>
      <c r="AK19" s="7">
        <v>4.1046180000000002E-2</v>
      </c>
      <c r="AM19" s="7">
        <f t="shared" si="32"/>
        <v>0.65929464000000004</v>
      </c>
      <c r="AN19" s="7">
        <f t="shared" si="23"/>
        <v>0.67552866499999997</v>
      </c>
      <c r="AO19" s="7">
        <f t="shared" si="33"/>
        <v>0</v>
      </c>
      <c r="AP19" s="7">
        <f t="shared" si="34"/>
        <v>0</v>
      </c>
      <c r="AQ19" s="7">
        <f t="shared" si="35"/>
        <v>0</v>
      </c>
      <c r="AR19" s="7">
        <f t="shared" si="36"/>
        <v>0</v>
      </c>
      <c r="AS19" s="7">
        <f t="shared" si="37"/>
        <v>0</v>
      </c>
      <c r="AT19" s="7">
        <f t="shared" si="38"/>
        <v>4.4343749999999997E-5</v>
      </c>
    </row>
    <row r="20" spans="1:46" s="7" customFormat="1" ht="16" x14ac:dyDescent="0.2">
      <c r="A20" s="7">
        <f t="shared" si="21"/>
        <v>-4.3156970371886601E-2</v>
      </c>
      <c r="E20" s="7">
        <v>-0.4</v>
      </c>
      <c r="F20" s="7">
        <v>1.3</v>
      </c>
      <c r="G20" s="7">
        <v>3.5</v>
      </c>
      <c r="H20" s="7">
        <v>26.1</v>
      </c>
      <c r="I20" s="7">
        <v>0</v>
      </c>
      <c r="J20" s="7">
        <v>3.2</v>
      </c>
      <c r="K20" s="7">
        <v>0.5</v>
      </c>
      <c r="L20" s="7">
        <f t="shared" si="24"/>
        <v>33.300000000000004</v>
      </c>
      <c r="M20" s="7">
        <f t="shared" si="25"/>
        <v>0.43290000000000006</v>
      </c>
      <c r="N20" s="7">
        <f t="shared" si="26"/>
        <v>2.6558282208588961E-3</v>
      </c>
      <c r="Q20">
        <v>-0.35</v>
      </c>
      <c r="R20">
        <v>0.64300000000000002</v>
      </c>
      <c r="S20">
        <v>11</v>
      </c>
      <c r="T20">
        <v>0</v>
      </c>
      <c r="U20" s="93">
        <v>0</v>
      </c>
      <c r="V20" s="93">
        <v>0</v>
      </c>
      <c r="W20" s="7">
        <v>46.7</v>
      </c>
      <c r="X20" s="94">
        <v>0</v>
      </c>
      <c r="Y20" s="94">
        <v>0</v>
      </c>
      <c r="Z20" s="7">
        <f t="shared" si="27"/>
        <v>42.3</v>
      </c>
      <c r="AA20" s="7">
        <f t="shared" si="28"/>
        <v>5.6664374999999996E-4</v>
      </c>
      <c r="AB20" s="7">
        <f t="shared" si="39"/>
        <v>1.4735416666666667E-4</v>
      </c>
      <c r="AC20" s="7">
        <f t="shared" si="29"/>
        <v>6.2558541666666667E-4</v>
      </c>
      <c r="AD20" s="7">
        <f t="shared" si="30"/>
        <v>0</v>
      </c>
      <c r="AE20" s="7">
        <f t="shared" si="31"/>
        <v>0</v>
      </c>
      <c r="AF20" s="7">
        <f t="shared" si="22"/>
        <v>6.0056200000000001E-4</v>
      </c>
      <c r="AG20" s="7">
        <v>-0.68249539999999997</v>
      </c>
      <c r="AI20" s="7">
        <v>0.47177532</v>
      </c>
      <c r="AJ20" s="7">
        <v>0.1691242</v>
      </c>
      <c r="AK20" s="7">
        <v>2.5328897E-2</v>
      </c>
      <c r="AL20" s="7">
        <v>5.2044260000000002E-2</v>
      </c>
      <c r="AM20" s="7">
        <f t="shared" si="32"/>
        <v>0.71827267699999997</v>
      </c>
      <c r="AN20" s="7">
        <f t="shared" si="23"/>
        <v>0.71827267699999997</v>
      </c>
      <c r="AO20" s="7">
        <f t="shared" si="33"/>
        <v>0</v>
      </c>
      <c r="AP20" s="7">
        <f t="shared" si="34"/>
        <v>0</v>
      </c>
      <c r="AQ20" s="7">
        <f t="shared" si="35"/>
        <v>0</v>
      </c>
      <c r="AR20" s="7">
        <f t="shared" si="36"/>
        <v>0</v>
      </c>
      <c r="AS20" s="7">
        <f t="shared" si="37"/>
        <v>0</v>
      </c>
      <c r="AT20" s="7">
        <f t="shared" si="38"/>
        <v>1.4735416666666667E-4</v>
      </c>
    </row>
    <row r="21" spans="1:46" s="7" customFormat="1" ht="16" x14ac:dyDescent="0.2">
      <c r="A21" s="7">
        <f t="shared" si="21"/>
        <v>-0.23977006065870213</v>
      </c>
      <c r="E21" s="7">
        <v>-0.45</v>
      </c>
      <c r="F21" s="7">
        <v>2.0699999999999998</v>
      </c>
      <c r="G21" s="7">
        <v>2</v>
      </c>
      <c r="H21" s="7">
        <v>18.899999999999999</v>
      </c>
      <c r="I21" s="7">
        <v>0</v>
      </c>
      <c r="J21" s="7">
        <v>3.1</v>
      </c>
      <c r="K21" s="7">
        <v>1</v>
      </c>
      <c r="L21" s="7">
        <f t="shared" si="24"/>
        <v>25</v>
      </c>
      <c r="M21" s="7">
        <f t="shared" si="25"/>
        <v>0.51749999999999996</v>
      </c>
      <c r="N21" s="7">
        <f t="shared" si="26"/>
        <v>3.1748466257668709E-3</v>
      </c>
      <c r="Q21" s="93">
        <v>-0.4</v>
      </c>
      <c r="R21" s="93">
        <v>1</v>
      </c>
      <c r="S21">
        <v>10.8</v>
      </c>
      <c r="T21">
        <v>0</v>
      </c>
      <c r="U21" s="93">
        <v>0</v>
      </c>
      <c r="V21" s="93">
        <v>0</v>
      </c>
      <c r="W21" s="94">
        <v>38.5</v>
      </c>
      <c r="X21" s="94">
        <v>0</v>
      </c>
      <c r="Y21" s="94">
        <v>0</v>
      </c>
      <c r="Z21" s="7">
        <f t="shared" si="27"/>
        <v>50.7</v>
      </c>
      <c r="AA21" s="7">
        <f t="shared" si="28"/>
        <v>1.0562500000000001E-3</v>
      </c>
      <c r="AB21" s="7">
        <f t="shared" si="39"/>
        <v>2.2500000000000002E-4</v>
      </c>
      <c r="AC21" s="7">
        <f t="shared" si="29"/>
        <v>8.0208333333333336E-4</v>
      </c>
      <c r="AD21" s="7">
        <f t="shared" si="30"/>
        <v>0</v>
      </c>
      <c r="AE21" s="7">
        <f t="shared" si="31"/>
        <v>0</v>
      </c>
      <c r="AF21" s="7">
        <f t="shared" si="22"/>
        <v>7.6999999999999996E-4</v>
      </c>
      <c r="AG21" s="7">
        <v>-0.63353649999999995</v>
      </c>
      <c r="AI21" s="7">
        <v>0.29752737000000001</v>
      </c>
      <c r="AJ21" s="7">
        <v>0.17621613</v>
      </c>
      <c r="AK21" s="7">
        <v>3.0410278999999998E-2</v>
      </c>
      <c r="AL21" s="7">
        <v>6.7447590000000002E-2</v>
      </c>
      <c r="AM21" s="7">
        <f t="shared" si="32"/>
        <v>0.57160136900000003</v>
      </c>
      <c r="AN21" s="7">
        <f t="shared" si="23"/>
        <v>0.57160136900000003</v>
      </c>
      <c r="AO21" s="7">
        <f t="shared" si="33"/>
        <v>0</v>
      </c>
      <c r="AP21" s="7">
        <f t="shared" si="34"/>
        <v>0</v>
      </c>
      <c r="AQ21" s="7">
        <f t="shared" si="35"/>
        <v>0</v>
      </c>
      <c r="AR21" s="7">
        <f t="shared" si="36"/>
        <v>0</v>
      </c>
      <c r="AS21" s="7">
        <f t="shared" si="37"/>
        <v>0</v>
      </c>
      <c r="AT21" s="7">
        <f t="shared" si="38"/>
        <v>2.2500000000000002E-4</v>
      </c>
    </row>
    <row r="22" spans="1:46" s="7" customFormat="1" ht="16" x14ac:dyDescent="0.2">
      <c r="A22" s="7">
        <f t="shared" si="21"/>
        <v>-0.33399054830052677</v>
      </c>
      <c r="E22" s="7">
        <v>-0.5</v>
      </c>
      <c r="F22" s="7">
        <v>3.03</v>
      </c>
      <c r="G22" s="7">
        <v>1.1000000000000001</v>
      </c>
      <c r="H22" s="7">
        <v>12.8</v>
      </c>
      <c r="I22" s="7">
        <v>0</v>
      </c>
      <c r="J22" s="7">
        <v>4.5999999999999996</v>
      </c>
      <c r="K22" s="7">
        <v>0.7</v>
      </c>
      <c r="L22" s="7">
        <f t="shared" si="24"/>
        <v>19.2</v>
      </c>
      <c r="M22" s="7">
        <f t="shared" si="25"/>
        <v>0.58175999999999994</v>
      </c>
      <c r="N22" s="7">
        <f t="shared" si="26"/>
        <v>3.5690797546012267E-3</v>
      </c>
      <c r="Q22">
        <v>-0.45</v>
      </c>
      <c r="R22">
        <v>1.48</v>
      </c>
      <c r="S22">
        <v>29.6</v>
      </c>
      <c r="T22">
        <v>0</v>
      </c>
      <c r="U22" s="93">
        <v>0</v>
      </c>
      <c r="V22" s="93">
        <v>0</v>
      </c>
      <c r="W22" s="94">
        <v>41.4</v>
      </c>
      <c r="X22" s="94">
        <v>0</v>
      </c>
      <c r="Y22" s="94">
        <v>0</v>
      </c>
      <c r="Z22" s="7">
        <f t="shared" si="27"/>
        <v>29</v>
      </c>
      <c r="AA22" s="7">
        <f t="shared" si="28"/>
        <v>8.941666666666667E-4</v>
      </c>
      <c r="AB22" s="7">
        <f t="shared" si="39"/>
        <v>9.1266666666666677E-4</v>
      </c>
      <c r="AC22" s="7">
        <f t="shared" si="29"/>
        <v>1.2765000000000001E-3</v>
      </c>
      <c r="AD22" s="7">
        <f t="shared" si="30"/>
        <v>0</v>
      </c>
      <c r="AE22" s="7">
        <f t="shared" si="31"/>
        <v>0</v>
      </c>
      <c r="AF22" s="7">
        <f t="shared" si="22"/>
        <v>1.2254399999999999E-3</v>
      </c>
      <c r="AG22" s="7">
        <v>-0.58140104999999997</v>
      </c>
      <c r="AI22" s="7">
        <v>0.17959175999999999</v>
      </c>
      <c r="AJ22" s="7">
        <v>6.1639703999999997E-2</v>
      </c>
      <c r="AK22" s="7">
        <v>1.6281486000000001E-2</v>
      </c>
      <c r="AL22" s="7">
        <v>3.8136080000000003E-2</v>
      </c>
      <c r="AM22" s="7">
        <f t="shared" si="32"/>
        <v>0.29564902999999998</v>
      </c>
      <c r="AN22" s="7">
        <f t="shared" si="23"/>
        <v>0.29564902999999998</v>
      </c>
      <c r="AO22" s="7">
        <f t="shared" si="33"/>
        <v>0</v>
      </c>
      <c r="AP22" s="7">
        <f t="shared" si="34"/>
        <v>0</v>
      </c>
      <c r="AQ22" s="7">
        <f t="shared" si="35"/>
        <v>0</v>
      </c>
      <c r="AR22" s="7">
        <f t="shared" si="36"/>
        <v>0</v>
      </c>
      <c r="AS22" s="7">
        <f t="shared" si="37"/>
        <v>0</v>
      </c>
      <c r="AT22" s="7">
        <f t="shared" si="38"/>
        <v>9.1266666666666677E-4</v>
      </c>
    </row>
    <row r="23" spans="1:46" s="7" customFormat="1" ht="16" x14ac:dyDescent="0.2">
      <c r="A23" s="7">
        <f t="shared" si="21"/>
        <v>-0.42534995124785946</v>
      </c>
      <c r="Q23" s="93">
        <v>-0.5</v>
      </c>
      <c r="R23">
        <v>1.68</v>
      </c>
      <c r="S23">
        <v>32.9</v>
      </c>
      <c r="T23">
        <v>2.1</v>
      </c>
      <c r="U23" s="94">
        <v>3</v>
      </c>
      <c r="V23" s="93">
        <v>0</v>
      </c>
      <c r="W23" s="7">
        <v>35</v>
      </c>
      <c r="X23" s="94">
        <v>0</v>
      </c>
      <c r="Y23" s="94">
        <v>0</v>
      </c>
      <c r="Z23" s="7">
        <f t="shared" si="27"/>
        <v>27</v>
      </c>
      <c r="AA23" s="7">
        <f t="shared" si="28"/>
        <v>9.4499999999999998E-4</v>
      </c>
      <c r="AB23" s="7">
        <f t="shared" si="39"/>
        <v>1.1515E-3</v>
      </c>
      <c r="AC23" s="7">
        <f t="shared" si="29"/>
        <v>1.225E-3</v>
      </c>
      <c r="AD23" s="7">
        <f t="shared" si="30"/>
        <v>8.5679999999999992E-2</v>
      </c>
      <c r="AE23" s="7">
        <f t="shared" si="31"/>
        <v>1.7849999999999997E-4</v>
      </c>
      <c r="AF23" s="7">
        <f>R23*W23/(100*500)</f>
        <v>1.176E-3</v>
      </c>
      <c r="AG23" s="7">
        <v>-0.53441380000000005</v>
      </c>
      <c r="AI23" s="7">
        <v>8.1648390000000001E-2</v>
      </c>
      <c r="AK23" s="7">
        <v>1.0380659E-2</v>
      </c>
      <c r="AL23" s="7">
        <v>2.1563572999999999E-2</v>
      </c>
      <c r="AM23" s="7">
        <f t="shared" si="32"/>
        <v>0.113592622</v>
      </c>
      <c r="AN23" s="7">
        <f t="shared" si="23"/>
        <v>0.113592622</v>
      </c>
      <c r="AO23" s="7">
        <f t="shared" si="33"/>
        <v>0</v>
      </c>
      <c r="AP23" s="7">
        <f t="shared" si="34"/>
        <v>0</v>
      </c>
      <c r="AQ23" s="7">
        <f t="shared" si="35"/>
        <v>0</v>
      </c>
      <c r="AR23" s="7">
        <f t="shared" si="36"/>
        <v>1.05E-4</v>
      </c>
      <c r="AS23" s="7">
        <f t="shared" si="37"/>
        <v>7.3499999999999998E-5</v>
      </c>
      <c r="AT23" s="7">
        <f t="shared" si="38"/>
        <v>1.1515E-3</v>
      </c>
    </row>
    <row r="24" spans="1:46" s="7" customFormat="1" ht="16" x14ac:dyDescent="0.2">
      <c r="A24" s="7">
        <f t="shared" si="21"/>
        <v>-0.46680185938360774</v>
      </c>
      <c r="E24" s="7" t="s">
        <v>115</v>
      </c>
      <c r="M24" s="7" t="s">
        <v>162</v>
      </c>
      <c r="Q24">
        <v>-0.55000000000000004</v>
      </c>
      <c r="R24">
        <v>2.6</v>
      </c>
      <c r="S24">
        <v>38.799999999999997</v>
      </c>
      <c r="T24">
        <v>2.2999999999999998</v>
      </c>
      <c r="U24" s="94">
        <v>3.5</v>
      </c>
      <c r="V24" s="93">
        <v>0</v>
      </c>
      <c r="W24" s="7">
        <v>30.1</v>
      </c>
      <c r="X24" s="94">
        <v>0</v>
      </c>
      <c r="Y24" s="94">
        <v>0</v>
      </c>
      <c r="Z24" s="7">
        <f t="shared" si="27"/>
        <v>25.300000000000011</v>
      </c>
      <c r="AA24" s="7">
        <f t="shared" si="28"/>
        <v>1.3704166666666671E-3</v>
      </c>
      <c r="AB24" s="7">
        <f t="shared" si="39"/>
        <v>2.1016666666666666E-3</v>
      </c>
      <c r="AC24" s="7">
        <f t="shared" si="29"/>
        <v>1.6304166666666667E-3</v>
      </c>
      <c r="AD24" s="7">
        <f t="shared" si="30"/>
        <v>0.15080000000000002</v>
      </c>
      <c r="AE24" s="7">
        <f t="shared" si="31"/>
        <v>3.141666666666667E-4</v>
      </c>
      <c r="AF24" s="7">
        <f t="shared" ref="AF24:AF30" si="40">R24*W24/(100*500)</f>
        <v>1.5652000000000001E-3</v>
      </c>
      <c r="AG24" s="7">
        <v>-0.48579772999999998</v>
      </c>
      <c r="AI24" s="7">
        <v>1.4841277E-2</v>
      </c>
      <c r="AK24" s="7">
        <v>8.1435850000000001E-3</v>
      </c>
      <c r="AM24" s="7">
        <f t="shared" si="32"/>
        <v>2.2984862000000002E-2</v>
      </c>
      <c r="AN24" s="7">
        <f t="shared" si="23"/>
        <v>2.2984862000000002E-2</v>
      </c>
      <c r="AO24" s="7">
        <f t="shared" si="33"/>
        <v>0</v>
      </c>
      <c r="AP24" s="7">
        <f t="shared" si="34"/>
        <v>0</v>
      </c>
      <c r="AQ24" s="7">
        <f t="shared" si="35"/>
        <v>0</v>
      </c>
      <c r="AR24" s="7">
        <f t="shared" si="36"/>
        <v>1.8958333333333332E-4</v>
      </c>
      <c r="AS24" s="7">
        <f t="shared" si="37"/>
        <v>1.2458333333333334E-4</v>
      </c>
      <c r="AT24" s="7">
        <f t="shared" si="38"/>
        <v>2.1016666666666666E-3</v>
      </c>
    </row>
    <row r="25" spans="1:46" s="7" customFormat="1" ht="16" x14ac:dyDescent="0.2">
      <c r="A25" s="7">
        <f t="shared" si="21"/>
        <v>-0.52127327987897099</v>
      </c>
      <c r="E25" s="7">
        <v>-0.3</v>
      </c>
      <c r="F25" s="7">
        <v>3.1E-2</v>
      </c>
      <c r="G25" s="7">
        <v>5.7</v>
      </c>
      <c r="H25" s="7">
        <v>0</v>
      </c>
      <c r="I25" s="7">
        <v>0</v>
      </c>
      <c r="J25" s="7">
        <v>0</v>
      </c>
      <c r="K25" s="7">
        <v>0</v>
      </c>
      <c r="L25" s="7">
        <f>SUM(G25:K25)</f>
        <v>5.7</v>
      </c>
      <c r="M25" s="7">
        <f>F25*L25*0.01</f>
        <v>1.7669999999999999E-3</v>
      </c>
      <c r="N25" s="7">
        <f>M25/30</f>
        <v>5.8899999999999995E-5</v>
      </c>
      <c r="Q25" s="93">
        <v>-0.6</v>
      </c>
      <c r="R25">
        <v>3.17</v>
      </c>
      <c r="S25">
        <v>32.5</v>
      </c>
      <c r="T25">
        <v>2</v>
      </c>
      <c r="U25" s="94">
        <v>4.5999999999999996</v>
      </c>
      <c r="V25" s="93">
        <v>0</v>
      </c>
      <c r="W25" s="7">
        <v>27.8</v>
      </c>
      <c r="X25" s="7">
        <v>1.2</v>
      </c>
      <c r="Y25" s="7">
        <v>2.2999999999999998</v>
      </c>
      <c r="Z25" s="7">
        <f t="shared" si="27"/>
        <v>29.599999999999994</v>
      </c>
      <c r="AA25" s="7">
        <f t="shared" si="28"/>
        <v>1.9548333333333332E-3</v>
      </c>
      <c r="AB25" s="7">
        <f t="shared" si="39"/>
        <v>2.1463541666666666E-3</v>
      </c>
      <c r="AC25" s="7">
        <f t="shared" si="29"/>
        <v>1.8359583333333333E-3</v>
      </c>
      <c r="AD25" s="7">
        <f t="shared" si="30"/>
        <v>0.32016999999999995</v>
      </c>
      <c r="AE25" s="7">
        <f t="shared" si="31"/>
        <v>6.6702083333333327E-4</v>
      </c>
      <c r="AF25" s="7">
        <f t="shared" si="40"/>
        <v>1.7625200000000001E-3</v>
      </c>
      <c r="AG25" s="7">
        <v>-0.43492599999999998</v>
      </c>
      <c r="AI25" s="7">
        <v>5.3065205000000001E-3</v>
      </c>
      <c r="AM25" s="7">
        <f t="shared" si="32"/>
        <v>5.3065205000000001E-3</v>
      </c>
      <c r="AN25" s="7">
        <f t="shared" si="23"/>
        <v>5.3065205000000001E-3</v>
      </c>
      <c r="AO25" s="7">
        <f t="shared" si="33"/>
        <v>7.9249999999999988E-5</v>
      </c>
      <c r="AP25" s="7">
        <f t="shared" si="34"/>
        <v>1.5189583333333334E-4</v>
      </c>
      <c r="AQ25" s="7">
        <f t="shared" si="35"/>
        <v>0</v>
      </c>
      <c r="AR25" s="7">
        <f t="shared" si="36"/>
        <v>3.0379166666666667E-4</v>
      </c>
      <c r="AS25" s="7">
        <f t="shared" si="37"/>
        <v>1.3208333333333334E-4</v>
      </c>
      <c r="AT25" s="7">
        <f t="shared" si="38"/>
        <v>2.1463541666666666E-3</v>
      </c>
    </row>
    <row r="26" spans="1:46" s="7" customFormat="1" ht="16" x14ac:dyDescent="0.2">
      <c r="E26" s="7">
        <v>-0.35</v>
      </c>
      <c r="F26" s="7">
        <v>0.121</v>
      </c>
      <c r="G26" s="7">
        <v>2.1</v>
      </c>
      <c r="H26" s="7">
        <v>2.2999999999999998</v>
      </c>
      <c r="I26" s="7">
        <v>0</v>
      </c>
      <c r="J26" s="7">
        <v>0</v>
      </c>
      <c r="K26" s="7">
        <v>0</v>
      </c>
      <c r="L26" s="7">
        <f t="shared" ref="L26:L30" si="41">SUM(G26:K26)</f>
        <v>4.4000000000000004</v>
      </c>
      <c r="M26" s="7">
        <f t="shared" ref="M26:M30" si="42">F26*L26*0.01</f>
        <v>5.3239999999999997E-3</v>
      </c>
      <c r="N26" s="7">
        <f t="shared" ref="N26:N30" si="43">M26/30</f>
        <v>1.7746666666666665E-4</v>
      </c>
      <c r="Q26">
        <v>-0.65</v>
      </c>
      <c r="R26">
        <v>4.67</v>
      </c>
      <c r="S26">
        <v>31.9</v>
      </c>
      <c r="T26">
        <v>2.2999999999999998</v>
      </c>
      <c r="U26" s="94">
        <v>4.4000000000000004</v>
      </c>
      <c r="V26" s="93">
        <v>0</v>
      </c>
      <c r="W26" s="7">
        <v>20.7</v>
      </c>
      <c r="X26" s="7">
        <v>1.7</v>
      </c>
      <c r="Y26" s="7">
        <v>3.5</v>
      </c>
      <c r="Z26" s="7">
        <f t="shared" si="27"/>
        <v>35.5</v>
      </c>
      <c r="AA26" s="7">
        <f t="shared" si="28"/>
        <v>3.4538541666666667E-3</v>
      </c>
      <c r="AB26" s="7">
        <f t="shared" si="39"/>
        <v>3.1036041666666664E-3</v>
      </c>
      <c r="AC26" s="7">
        <f t="shared" si="29"/>
        <v>2.0139374999999997E-3</v>
      </c>
      <c r="AD26" s="7">
        <f t="shared" si="30"/>
        <v>0.55573000000000006</v>
      </c>
      <c r="AE26" s="7">
        <f t="shared" si="31"/>
        <v>1.1577708333333334E-3</v>
      </c>
      <c r="AF26" s="7">
        <f t="shared" si="40"/>
        <v>1.93338E-3</v>
      </c>
      <c r="AO26" s="7">
        <f t="shared" si="33"/>
        <v>1.6539583333333334E-4</v>
      </c>
      <c r="AP26" s="7">
        <f t="shared" si="34"/>
        <v>3.405208333333333E-4</v>
      </c>
      <c r="AQ26" s="7">
        <f t="shared" si="35"/>
        <v>0</v>
      </c>
      <c r="AR26" s="7">
        <f t="shared" si="36"/>
        <v>4.2808333333333338E-4</v>
      </c>
      <c r="AS26" s="7">
        <f t="shared" si="37"/>
        <v>2.2377083333333334E-4</v>
      </c>
      <c r="AT26" s="7">
        <f t="shared" si="38"/>
        <v>3.1036041666666664E-3</v>
      </c>
    </row>
    <row r="27" spans="1:46" s="7" customFormat="1" ht="16" x14ac:dyDescent="0.2">
      <c r="E27" s="7">
        <v>-0.4</v>
      </c>
      <c r="F27" s="7">
        <v>0.30199999999999999</v>
      </c>
      <c r="G27" s="7">
        <v>2</v>
      </c>
      <c r="H27" s="7">
        <v>3.7</v>
      </c>
      <c r="I27" s="7">
        <v>0</v>
      </c>
      <c r="J27" s="7">
        <v>0</v>
      </c>
      <c r="K27" s="7">
        <v>0</v>
      </c>
      <c r="L27" s="7">
        <f t="shared" si="41"/>
        <v>5.7</v>
      </c>
      <c r="M27" s="7">
        <f t="shared" si="42"/>
        <v>1.7214E-2</v>
      </c>
      <c r="N27" s="7">
        <f t="shared" si="43"/>
        <v>5.7379999999999996E-4</v>
      </c>
      <c r="Q27" s="93">
        <v>-0.7</v>
      </c>
      <c r="R27">
        <v>6.15</v>
      </c>
      <c r="S27">
        <v>32.1</v>
      </c>
      <c r="T27">
        <v>1.2</v>
      </c>
      <c r="U27" s="94">
        <v>2.2999999999999998</v>
      </c>
      <c r="V27" s="93">
        <v>0</v>
      </c>
      <c r="W27" s="7">
        <v>15.3</v>
      </c>
      <c r="X27" s="7">
        <v>2.4</v>
      </c>
      <c r="Y27" s="7">
        <v>4.7</v>
      </c>
      <c r="Z27" s="7">
        <f t="shared" si="27"/>
        <v>41.999999999999993</v>
      </c>
      <c r="AA27" s="7">
        <f t="shared" si="28"/>
        <v>5.3812499999999997E-3</v>
      </c>
      <c r="AB27" s="7">
        <f t="shared" si="39"/>
        <v>4.112812500000001E-3</v>
      </c>
      <c r="AC27" s="7">
        <f t="shared" si="29"/>
        <v>1.9603125000000002E-3</v>
      </c>
      <c r="AD27" s="7">
        <f t="shared" si="30"/>
        <v>0.65190000000000015</v>
      </c>
      <c r="AE27" s="7">
        <f t="shared" si="31"/>
        <v>1.3581250000000004E-3</v>
      </c>
      <c r="AF27" s="7">
        <f t="shared" si="40"/>
        <v>1.8819000000000004E-3</v>
      </c>
      <c r="AO27" s="7">
        <f t="shared" si="33"/>
        <v>3.0749999999999999E-4</v>
      </c>
      <c r="AP27" s="7">
        <f t="shared" si="34"/>
        <v>6.0218750000000008E-4</v>
      </c>
      <c r="AQ27" s="7">
        <f t="shared" si="35"/>
        <v>0</v>
      </c>
      <c r="AR27" s="7">
        <f t="shared" si="36"/>
        <v>2.9468749999999997E-4</v>
      </c>
      <c r="AS27" s="7">
        <f t="shared" si="37"/>
        <v>1.5375E-4</v>
      </c>
      <c r="AT27" s="7">
        <f t="shared" si="38"/>
        <v>4.112812500000001E-3</v>
      </c>
    </row>
    <row r="28" spans="1:46" s="7" customFormat="1" ht="16" x14ac:dyDescent="0.2">
      <c r="E28" s="7">
        <v>-0.45</v>
      </c>
      <c r="F28" s="7">
        <v>0.65300000000000002</v>
      </c>
      <c r="G28" s="7">
        <v>0.4</v>
      </c>
      <c r="H28" s="7">
        <v>5.2</v>
      </c>
      <c r="I28" s="7">
        <v>0</v>
      </c>
      <c r="J28" s="7">
        <v>0.7</v>
      </c>
      <c r="K28" s="7">
        <v>0</v>
      </c>
      <c r="L28" s="7">
        <f t="shared" si="41"/>
        <v>6.3000000000000007</v>
      </c>
      <c r="M28" s="7">
        <f t="shared" si="42"/>
        <v>4.1139000000000009E-2</v>
      </c>
      <c r="N28" s="7">
        <f t="shared" si="43"/>
        <v>1.3713000000000002E-3</v>
      </c>
      <c r="Q28">
        <v>-0.75</v>
      </c>
      <c r="R28">
        <v>9.0399999999999991</v>
      </c>
      <c r="S28">
        <v>24.2</v>
      </c>
      <c r="T28">
        <v>1.5</v>
      </c>
      <c r="U28" s="94">
        <v>4.0999999999999996</v>
      </c>
      <c r="V28" s="93">
        <v>3.7</v>
      </c>
      <c r="W28" s="7">
        <v>10.8</v>
      </c>
      <c r="X28" s="7">
        <v>3</v>
      </c>
      <c r="Y28" s="7">
        <v>5.61</v>
      </c>
      <c r="Z28" s="7">
        <f t="shared" si="27"/>
        <v>47.09</v>
      </c>
      <c r="AA28" s="7">
        <f t="shared" si="28"/>
        <v>8.8686166666666674E-3</v>
      </c>
      <c r="AB28" s="7">
        <f t="shared" si="39"/>
        <v>4.5576666666666665E-3</v>
      </c>
      <c r="AC28" s="7">
        <f t="shared" si="29"/>
        <v>2.0339999999999998E-3</v>
      </c>
      <c r="AD28" s="7">
        <f t="shared" si="30"/>
        <v>1.6190639999999998</v>
      </c>
      <c r="AE28" s="7">
        <f t="shared" si="31"/>
        <v>3.3730499999999998E-3</v>
      </c>
      <c r="AF28" s="7">
        <f t="shared" si="40"/>
        <v>1.9526399999999998E-3</v>
      </c>
      <c r="AO28" s="7">
        <f t="shared" si="33"/>
        <v>5.6499999999999986E-4</v>
      </c>
      <c r="AP28" s="7">
        <f t="shared" si="34"/>
        <v>1.0565500000000001E-3</v>
      </c>
      <c r="AQ28" s="7">
        <f t="shared" si="35"/>
        <v>6.9683333333333338E-4</v>
      </c>
      <c r="AR28" s="7">
        <f t="shared" si="36"/>
        <v>7.7216666666666644E-4</v>
      </c>
      <c r="AS28" s="7">
        <f t="shared" si="37"/>
        <v>2.8249999999999998E-4</v>
      </c>
      <c r="AT28" s="7">
        <f t="shared" si="38"/>
        <v>4.5576666666666665E-3</v>
      </c>
    </row>
    <row r="29" spans="1:46" s="7" customFormat="1" ht="16" x14ac:dyDescent="0.2">
      <c r="E29" s="7">
        <v>-0.5</v>
      </c>
      <c r="F29" s="7">
        <v>1.95</v>
      </c>
      <c r="G29" s="7">
        <v>0.4</v>
      </c>
      <c r="H29" s="7">
        <v>2.7</v>
      </c>
      <c r="I29" s="7">
        <v>0</v>
      </c>
      <c r="J29" s="7">
        <v>2.4</v>
      </c>
      <c r="K29" s="7">
        <v>0</v>
      </c>
      <c r="L29" s="7">
        <f t="shared" si="41"/>
        <v>5.5</v>
      </c>
      <c r="M29" s="7">
        <f t="shared" si="42"/>
        <v>0.10725</v>
      </c>
      <c r="N29" s="7">
        <f t="shared" si="43"/>
        <v>3.5750000000000001E-3</v>
      </c>
      <c r="Q29" s="93">
        <v>-0.8</v>
      </c>
      <c r="R29">
        <v>12.3</v>
      </c>
      <c r="S29">
        <v>22</v>
      </c>
      <c r="T29">
        <v>1.3</v>
      </c>
      <c r="U29" s="94">
        <v>3.7</v>
      </c>
      <c r="V29" s="93">
        <v>7.1</v>
      </c>
      <c r="W29" s="7">
        <v>7.7</v>
      </c>
      <c r="X29" s="7">
        <v>3.3</v>
      </c>
      <c r="Y29" s="7">
        <v>5.8</v>
      </c>
      <c r="Z29" s="7">
        <f t="shared" si="27"/>
        <v>49.1</v>
      </c>
      <c r="AA29" s="7">
        <f t="shared" si="28"/>
        <v>1.2581875000000001E-2</v>
      </c>
      <c r="AB29" s="7">
        <f t="shared" si="39"/>
        <v>5.637500000000001E-3</v>
      </c>
      <c r="AC29" s="7">
        <f t="shared" si="29"/>
        <v>1.9731250000000001E-3</v>
      </c>
      <c r="AD29" s="7">
        <f t="shared" si="30"/>
        <v>2.6076000000000001</v>
      </c>
      <c r="AE29" s="7">
        <f t="shared" si="31"/>
        <v>5.4325000000000007E-3</v>
      </c>
      <c r="AF29" s="7">
        <f t="shared" si="40"/>
        <v>1.8942000000000002E-3</v>
      </c>
      <c r="AO29" s="7">
        <f t="shared" si="33"/>
        <v>8.4562500000000013E-4</v>
      </c>
      <c r="AP29" s="7">
        <f t="shared" si="34"/>
        <v>1.4862500000000002E-3</v>
      </c>
      <c r="AQ29" s="7">
        <f t="shared" si="35"/>
        <v>1.819375E-3</v>
      </c>
      <c r="AR29" s="7">
        <f t="shared" si="36"/>
        <v>9.4812500000000007E-4</v>
      </c>
      <c r="AS29" s="7">
        <f t="shared" si="37"/>
        <v>3.3312500000000003E-4</v>
      </c>
      <c r="AT29" s="7">
        <f t="shared" si="38"/>
        <v>5.637500000000001E-3</v>
      </c>
    </row>
    <row r="30" spans="1:46" s="7" customFormat="1" ht="16" x14ac:dyDescent="0.2">
      <c r="E30" s="7">
        <v>-0.6</v>
      </c>
      <c r="F30" s="7">
        <v>3.97</v>
      </c>
      <c r="G30" s="7">
        <v>0.1</v>
      </c>
      <c r="H30" s="7">
        <v>0.6</v>
      </c>
      <c r="I30" s="7">
        <v>1.1000000000000001</v>
      </c>
      <c r="J30" s="7">
        <v>1.9</v>
      </c>
      <c r="K30" s="7">
        <v>0</v>
      </c>
      <c r="L30" s="7">
        <f t="shared" si="41"/>
        <v>3.7</v>
      </c>
      <c r="M30" s="7">
        <f t="shared" si="42"/>
        <v>0.14689000000000002</v>
      </c>
      <c r="N30" s="7">
        <f t="shared" si="43"/>
        <v>4.8963333333333341E-3</v>
      </c>
      <c r="Q30">
        <v>-0.85</v>
      </c>
      <c r="R30">
        <v>15</v>
      </c>
      <c r="S30">
        <v>10.199999999999999</v>
      </c>
      <c r="T30">
        <v>0.51</v>
      </c>
      <c r="U30" s="94">
        <v>4.7</v>
      </c>
      <c r="V30" s="93">
        <v>5.7</v>
      </c>
      <c r="W30" s="7">
        <v>6.4</v>
      </c>
      <c r="X30" s="7">
        <v>3.9</v>
      </c>
      <c r="Y30" s="7">
        <v>6.6</v>
      </c>
      <c r="Z30" s="7">
        <f t="shared" si="27"/>
        <v>61.99</v>
      </c>
      <c r="AA30" s="7">
        <f t="shared" si="28"/>
        <v>1.9371875E-2</v>
      </c>
      <c r="AB30" s="7">
        <f t="shared" si="39"/>
        <v>3.1875000000000002E-3</v>
      </c>
      <c r="AC30" s="7">
        <f t="shared" si="29"/>
        <v>2E-3</v>
      </c>
      <c r="AD30" s="7">
        <f t="shared" si="30"/>
        <v>3.2115</v>
      </c>
      <c r="AE30" s="7">
        <f t="shared" si="31"/>
        <v>6.6906250000000004E-3</v>
      </c>
      <c r="AF30" s="7">
        <f t="shared" si="40"/>
        <v>1.92E-3</v>
      </c>
      <c r="AO30" s="7">
        <f t="shared" si="33"/>
        <v>1.21875E-3</v>
      </c>
      <c r="AP30" s="7">
        <f t="shared" si="34"/>
        <v>2.0625000000000001E-3</v>
      </c>
      <c r="AQ30" s="7">
        <f t="shared" si="35"/>
        <v>1.7812500000000001E-3</v>
      </c>
      <c r="AR30" s="7">
        <f t="shared" si="36"/>
        <v>1.46875E-3</v>
      </c>
      <c r="AS30" s="7">
        <f t="shared" si="37"/>
        <v>1.5937499999999998E-4</v>
      </c>
      <c r="AT30" s="7">
        <f t="shared" si="38"/>
        <v>3.1875000000000002E-3</v>
      </c>
    </row>
    <row r="31" spans="1:46" s="7" customFormat="1" x14ac:dyDescent="0.2">
      <c r="Q31"/>
      <c r="R31"/>
      <c r="S31"/>
      <c r="T31"/>
      <c r="U31"/>
      <c r="V31"/>
      <c r="W31"/>
      <c r="X31"/>
      <c r="Y31"/>
    </row>
    <row r="32" spans="1:46" s="7" customFormat="1" x14ac:dyDescent="0.2"/>
    <row r="33" spans="5:14" s="7" customFormat="1" x14ac:dyDescent="0.2"/>
    <row r="34" spans="5:14" s="7" customFormat="1" x14ac:dyDescent="0.2"/>
    <row r="35" spans="5:14" s="7" customFormat="1" x14ac:dyDescent="0.2"/>
    <row r="36" spans="5:14" s="7" customFormat="1" x14ac:dyDescent="0.2"/>
    <row r="37" spans="5:14" s="7" customFormat="1" x14ac:dyDescent="0.2"/>
    <row r="38" spans="5:14" s="7" customFormat="1" x14ac:dyDescent="0.2"/>
    <row r="39" spans="5:14" s="7" customFormat="1" x14ac:dyDescent="0.2"/>
    <row r="40" spans="5:14" s="7" customFormat="1" x14ac:dyDescent="0.2"/>
    <row r="41" spans="5:14" s="7" customFormat="1" x14ac:dyDescent="0.2"/>
    <row r="42" spans="5:14" s="7" customFormat="1" x14ac:dyDescent="0.2"/>
    <row r="43" spans="5:14" s="7" customFormat="1" x14ac:dyDescent="0.2">
      <c r="E43" t="s">
        <v>113</v>
      </c>
      <c r="F43"/>
      <c r="G43"/>
      <c r="H43"/>
      <c r="I43"/>
      <c r="J43"/>
      <c r="K43"/>
      <c r="L43"/>
      <c r="M43"/>
      <c r="N43"/>
    </row>
    <row r="44" spans="5:14" s="7" customFormat="1" x14ac:dyDescent="0.2">
      <c r="E44"/>
      <c r="F44" t="s">
        <v>104</v>
      </c>
      <c r="G44"/>
      <c r="H44"/>
      <c r="I44"/>
      <c r="J44"/>
      <c r="K44" t="s">
        <v>105</v>
      </c>
      <c r="L44"/>
      <c r="M44"/>
      <c r="N44"/>
    </row>
    <row r="45" spans="5:14" s="7" customFormat="1" x14ac:dyDescent="0.2">
      <c r="E45" t="s">
        <v>106</v>
      </c>
      <c r="F45" t="s">
        <v>102</v>
      </c>
      <c r="G45" t="s">
        <v>103</v>
      </c>
      <c r="H45" t="s">
        <v>111</v>
      </c>
      <c r="I45"/>
      <c r="J45"/>
      <c r="K45" t="s">
        <v>102</v>
      </c>
      <c r="L45" t="s">
        <v>103</v>
      </c>
      <c r="M45"/>
      <c r="N45"/>
    </row>
    <row r="46" spans="5:14" s="7" customFormat="1" x14ac:dyDescent="0.2">
      <c r="E46">
        <f>-0.11-F46</f>
        <v>-0.20012622400000002</v>
      </c>
      <c r="F46">
        <v>9.0126224000000005E-2</v>
      </c>
      <c r="G46">
        <v>2.186138E-2</v>
      </c>
      <c r="H46">
        <f>G46/72</f>
        <v>3.0363027777777777E-4</v>
      </c>
      <c r="I46"/>
      <c r="J46">
        <f>-0.01-K46</f>
        <v>-0.29968941999999998</v>
      </c>
      <c r="K46">
        <v>0.28968941999999998</v>
      </c>
      <c r="L46">
        <v>2.6348835000000001E-2</v>
      </c>
      <c r="M46"/>
      <c r="N46"/>
    </row>
    <row r="47" spans="5:14" s="7" customFormat="1" x14ac:dyDescent="0.2">
      <c r="E47">
        <f t="shared" ref="E47:E55" si="44">-0.11-F47</f>
        <v>-0.22830184000000001</v>
      </c>
      <c r="F47">
        <v>0.11830184000000001</v>
      </c>
      <c r="G47">
        <v>0.103344955</v>
      </c>
      <c r="H47">
        <f t="shared" ref="H47:H55" si="45">G47/72</f>
        <v>1.4353465972222223E-3</v>
      </c>
      <c r="I47"/>
      <c r="J47">
        <f t="shared" ref="J47:J51" si="46">-0.01-K47</f>
        <v>-0.35045305999999998</v>
      </c>
      <c r="K47">
        <v>0.34045305999999997</v>
      </c>
      <c r="L47">
        <v>0.11695141000000001</v>
      </c>
      <c r="M47"/>
      <c r="N47"/>
    </row>
    <row r="48" spans="5:14" s="7" customFormat="1" x14ac:dyDescent="0.2">
      <c r="E48">
        <f t="shared" si="44"/>
        <v>-0.25188975000000002</v>
      </c>
      <c r="F48">
        <v>0.14188975000000001</v>
      </c>
      <c r="G48">
        <v>0.22974646000000001</v>
      </c>
      <c r="H48">
        <f t="shared" si="45"/>
        <v>3.1909230555555558E-3</v>
      </c>
      <c r="I48"/>
      <c r="J48">
        <f t="shared" si="46"/>
        <v>-0.40016032000000001</v>
      </c>
      <c r="K48">
        <v>0.39016032</v>
      </c>
      <c r="L48">
        <v>0.28392872000000002</v>
      </c>
      <c r="M48"/>
      <c r="N48"/>
    </row>
    <row r="49" spans="5:80" s="7" customFormat="1" x14ac:dyDescent="0.2">
      <c r="E49">
        <f t="shared" si="44"/>
        <v>-0.27659518</v>
      </c>
      <c r="F49">
        <v>0.16659518000000001</v>
      </c>
      <c r="G49">
        <v>0.70567422999999996</v>
      </c>
      <c r="H49">
        <f t="shared" si="45"/>
        <v>9.8010309722222216E-3</v>
      </c>
      <c r="I49"/>
      <c r="J49">
        <f t="shared" si="46"/>
        <v>-0.44869364</v>
      </c>
      <c r="K49">
        <v>0.43869364</v>
      </c>
      <c r="L49">
        <v>0.64610690000000004</v>
      </c>
      <c r="M49"/>
      <c r="N49"/>
    </row>
    <row r="50" spans="5:80" s="7" customFormat="1" x14ac:dyDescent="0.2">
      <c r="E50">
        <f t="shared" si="44"/>
        <v>-0.30135234999999999</v>
      </c>
      <c r="F50">
        <v>0.19135235</v>
      </c>
      <c r="G50">
        <v>1.7101331</v>
      </c>
      <c r="H50">
        <f t="shared" si="45"/>
        <v>2.3751848611111112E-2</v>
      </c>
      <c r="I50"/>
      <c r="J50">
        <f t="shared" si="46"/>
        <v>-0.49970667000000002</v>
      </c>
      <c r="K50">
        <v>0.48970667000000001</v>
      </c>
      <c r="L50">
        <v>0.91540639999999995</v>
      </c>
      <c r="M50"/>
      <c r="N50"/>
    </row>
    <row r="51" spans="5:80" s="7" customFormat="1" x14ac:dyDescent="0.2">
      <c r="E51">
        <f t="shared" si="44"/>
        <v>-0.32618953000000001</v>
      </c>
      <c r="F51">
        <v>0.21618952999999999</v>
      </c>
      <c r="G51">
        <v>2.8733081999999999</v>
      </c>
      <c r="H51">
        <f t="shared" si="45"/>
        <v>3.9907058333333328E-2</v>
      </c>
      <c r="I51"/>
      <c r="J51">
        <f t="shared" si="46"/>
        <v>-0.54952219999999996</v>
      </c>
      <c r="K51">
        <v>0.53952219999999995</v>
      </c>
      <c r="L51">
        <v>1.3539448999999999</v>
      </c>
      <c r="M51"/>
      <c r="N51"/>
    </row>
    <row r="52" spans="5:80" s="7" customFormat="1" x14ac:dyDescent="0.2">
      <c r="E52">
        <f t="shared" si="44"/>
        <v>-0.34868816000000002</v>
      </c>
      <c r="F52">
        <v>0.23868816000000001</v>
      </c>
      <c r="G52">
        <v>4.0625844000000004</v>
      </c>
      <c r="H52">
        <f t="shared" si="45"/>
        <v>5.6424783333333339E-2</v>
      </c>
      <c r="I52"/>
      <c r="J52"/>
      <c r="K52"/>
      <c r="L52"/>
      <c r="M52"/>
      <c r="N52"/>
    </row>
    <row r="53" spans="5:80" s="7" customFormat="1" x14ac:dyDescent="0.2">
      <c r="E53">
        <f t="shared" si="44"/>
        <v>-0.39960236999999998</v>
      </c>
      <c r="F53">
        <v>0.28960237</v>
      </c>
      <c r="G53">
        <v>9.0492860000000004</v>
      </c>
      <c r="H53">
        <f t="shared" si="45"/>
        <v>0.12568452777777778</v>
      </c>
      <c r="I53"/>
      <c r="J53"/>
      <c r="K53"/>
      <c r="L53"/>
      <c r="M53"/>
      <c r="N53"/>
    </row>
    <row r="54" spans="5:80" s="7" customFormat="1" x14ac:dyDescent="0.2">
      <c r="E54">
        <f t="shared" si="44"/>
        <v>-0.45180819999999999</v>
      </c>
      <c r="F54">
        <v>0.34180820000000001</v>
      </c>
      <c r="G54">
        <v>12.548842</v>
      </c>
      <c r="H54">
        <f t="shared" si="45"/>
        <v>0.17428947222222224</v>
      </c>
      <c r="I54"/>
      <c r="J54"/>
      <c r="K54"/>
      <c r="L54"/>
      <c r="M54"/>
      <c r="N54"/>
      <c r="BS54"/>
      <c r="BT54"/>
      <c r="BU54"/>
      <c r="BV54"/>
      <c r="BW54"/>
      <c r="BX54"/>
      <c r="BY54"/>
      <c r="BZ54"/>
      <c r="CA54"/>
      <c r="CB54"/>
    </row>
    <row r="55" spans="5:80" x14ac:dyDescent="0.2">
      <c r="E55">
        <f t="shared" si="44"/>
        <v>-0.50040735000000003</v>
      </c>
      <c r="F55">
        <v>0.39040734999999999</v>
      </c>
      <c r="G55">
        <v>21.120159999999998</v>
      </c>
      <c r="H55">
        <f t="shared" si="45"/>
        <v>0.29333555555555552</v>
      </c>
      <c r="O55" s="7"/>
      <c r="P55" s="7"/>
    </row>
    <row r="59" spans="5:80" x14ac:dyDescent="0.2">
      <c r="E59" t="s">
        <v>116</v>
      </c>
      <c r="I59" t="s">
        <v>117</v>
      </c>
    </row>
    <row r="60" spans="5:80" x14ac:dyDescent="0.2">
      <c r="E60" t="s">
        <v>107</v>
      </c>
      <c r="H60" t="s">
        <v>111</v>
      </c>
    </row>
    <row r="61" spans="5:80" x14ac:dyDescent="0.2">
      <c r="E61">
        <v>-0.69925559999999998</v>
      </c>
      <c r="F61" s="1">
        <v>2.1080314E-5</v>
      </c>
      <c r="G61" s="1">
        <f>F61*1000</f>
        <v>2.1080313999999999E-2</v>
      </c>
      <c r="H61" s="1">
        <f>G61/25</f>
        <v>8.4321256000000002E-4</v>
      </c>
      <c r="I61">
        <v>-0.79826299999999994</v>
      </c>
      <c r="J61" s="1">
        <v>5.0091449999999998E-6</v>
      </c>
      <c r="K61" s="1">
        <f>J61*1000</f>
        <v>5.0091449999999996E-3</v>
      </c>
    </row>
    <row r="62" spans="5:80" x14ac:dyDescent="0.2">
      <c r="E62">
        <v>-0.72531014999999999</v>
      </c>
      <c r="F62" s="1">
        <v>5.1473525999999999E-5</v>
      </c>
      <c r="G62" s="1">
        <f t="shared" ref="G62:G69" si="47">F62*1000</f>
        <v>5.1473525999999999E-2</v>
      </c>
      <c r="H62" s="1">
        <f t="shared" ref="H62:H69" si="48">G62/25</f>
        <v>2.0589410399999997E-3</v>
      </c>
      <c r="I62">
        <v>-0.84962780000000004</v>
      </c>
      <c r="J62" s="1">
        <v>2.5091532999999999E-5</v>
      </c>
      <c r="K62" s="1">
        <f t="shared" ref="K62:K65" si="49">J62*1000</f>
        <v>2.5091532999999999E-2</v>
      </c>
    </row>
    <row r="63" spans="5:80" x14ac:dyDescent="0.2">
      <c r="E63">
        <v>-0.75062037000000004</v>
      </c>
      <c r="F63" s="1">
        <v>1.0559434E-4</v>
      </c>
      <c r="G63" s="1">
        <f t="shared" si="47"/>
        <v>0.10559434000000001</v>
      </c>
      <c r="H63" s="1">
        <f t="shared" si="48"/>
        <v>4.2237736000000003E-3</v>
      </c>
      <c r="I63">
        <v>-0.89950370000000002</v>
      </c>
      <c r="J63" s="1">
        <v>6.6843490000000004E-5</v>
      </c>
      <c r="K63" s="1">
        <f t="shared" si="49"/>
        <v>6.6843490000000005E-2</v>
      </c>
    </row>
    <row r="64" spans="5:80" x14ac:dyDescent="0.2">
      <c r="E64">
        <v>-0.77593049999999997</v>
      </c>
      <c r="F64" s="1">
        <v>1.7807009999999999E-4</v>
      </c>
      <c r="G64" s="1">
        <f t="shared" si="47"/>
        <v>0.17807009999999998</v>
      </c>
      <c r="H64" s="1">
        <f t="shared" si="48"/>
        <v>7.1228039999999991E-3</v>
      </c>
      <c r="I64">
        <v>-0.95012410000000003</v>
      </c>
      <c r="J64" s="1">
        <v>1.1029432999999999E-4</v>
      </c>
      <c r="K64" s="1">
        <f t="shared" si="49"/>
        <v>0.11029433</v>
      </c>
    </row>
    <row r="65" spans="5:52" x14ac:dyDescent="0.2">
      <c r="E65">
        <v>-0.80124070000000003</v>
      </c>
      <c r="F65" s="1">
        <v>2.7524302000000002E-4</v>
      </c>
      <c r="G65" s="1">
        <f t="shared" si="47"/>
        <v>0.27524302</v>
      </c>
      <c r="H65" s="1">
        <f t="shared" si="48"/>
        <v>1.1009720800000001E-2</v>
      </c>
      <c r="I65">
        <v>-0.99851120000000004</v>
      </c>
      <c r="J65" s="1">
        <v>2.2138778999999999E-4</v>
      </c>
      <c r="K65" s="1">
        <f t="shared" si="49"/>
        <v>0.22138779</v>
      </c>
    </row>
    <row r="66" spans="5:52" x14ac:dyDescent="0.2">
      <c r="E66">
        <v>-0.82282876999999999</v>
      </c>
      <c r="F66" s="1">
        <v>3.8155776999999999E-4</v>
      </c>
      <c r="G66" s="1">
        <f t="shared" si="47"/>
        <v>0.38155777000000002</v>
      </c>
      <c r="H66" s="1">
        <f t="shared" si="48"/>
        <v>1.5262310800000001E-2</v>
      </c>
    </row>
    <row r="67" spans="5:52" x14ac:dyDescent="0.2">
      <c r="E67">
        <v>-0.85037220000000002</v>
      </c>
      <c r="F67" s="1">
        <v>5.2893739999999997E-4</v>
      </c>
      <c r="G67" s="1">
        <f t="shared" si="47"/>
        <v>0.5289374</v>
      </c>
      <c r="H67" s="1">
        <f t="shared" si="48"/>
        <v>2.1157496000000001E-2</v>
      </c>
    </row>
    <row r="68" spans="5:52" x14ac:dyDescent="0.2">
      <c r="E68">
        <v>-0.89727049999999997</v>
      </c>
      <c r="F68" s="1">
        <v>9.5218956000000003E-4</v>
      </c>
      <c r="G68" s="1">
        <f t="shared" si="47"/>
        <v>0.95218955999999999</v>
      </c>
      <c r="H68" s="1">
        <f t="shared" si="48"/>
        <v>3.80875824E-2</v>
      </c>
    </row>
    <row r="69" spans="5:52" x14ac:dyDescent="0.2">
      <c r="E69">
        <v>-0.99851120000000004</v>
      </c>
      <c r="F69">
        <v>2.1780179999999999E-3</v>
      </c>
      <c r="G69" s="1">
        <f t="shared" si="47"/>
        <v>2.1780179999999998</v>
      </c>
      <c r="H69" s="1">
        <f t="shared" si="48"/>
        <v>8.7120719999999985E-2</v>
      </c>
    </row>
    <row r="72" spans="5:52" x14ac:dyDescent="0.2">
      <c r="AB72" t="e">
        <f>Cu!$M$17:$M$22</f>
        <v>#VALUE!</v>
      </c>
    </row>
    <row r="74" spans="5:52" x14ac:dyDescent="0.2">
      <c r="E74" s="7" t="s">
        <v>118</v>
      </c>
      <c r="F74" s="7"/>
      <c r="G74" s="7"/>
      <c r="H74" s="7"/>
      <c r="I74" s="7"/>
      <c r="J74" s="7"/>
      <c r="K74" s="7"/>
      <c r="AF74" t="str">
        <f>"C2 products from Cu NPs [5]"</f>
        <v>C2 products from Cu NPs [5]</v>
      </c>
    </row>
    <row r="75" spans="5:52" x14ac:dyDescent="0.2">
      <c r="E75" s="7"/>
      <c r="F75" s="7" t="s">
        <v>5</v>
      </c>
      <c r="G75" s="7" t="s">
        <v>108</v>
      </c>
      <c r="H75" s="7" t="s">
        <v>109</v>
      </c>
      <c r="I75" s="7" t="s">
        <v>46</v>
      </c>
      <c r="J75" s="7" t="s">
        <v>110</v>
      </c>
      <c r="K75" s="7" t="s">
        <v>89</v>
      </c>
    </row>
    <row r="76" spans="5:52" x14ac:dyDescent="0.2">
      <c r="E76" s="7">
        <v>1.0000000000000001E-5</v>
      </c>
      <c r="F76" s="7">
        <v>-0.11</v>
      </c>
      <c r="G76" s="7">
        <v>-0.25</v>
      </c>
      <c r="H76" s="7">
        <v>0.02</v>
      </c>
      <c r="I76" s="7">
        <v>0.17</v>
      </c>
      <c r="J76" s="7">
        <v>0.08</v>
      </c>
      <c r="K76" s="7">
        <v>0.06</v>
      </c>
    </row>
    <row r="77" spans="5:52" x14ac:dyDescent="0.2">
      <c r="E77" s="7">
        <v>25</v>
      </c>
      <c r="F77" s="7">
        <v>-0.11</v>
      </c>
      <c r="G77" s="7">
        <v>-0.25</v>
      </c>
      <c r="H77" s="7">
        <v>0.02</v>
      </c>
      <c r="I77" s="7">
        <v>0.17</v>
      </c>
      <c r="J77" s="7">
        <v>0.08</v>
      </c>
      <c r="K77" s="7">
        <v>0.06</v>
      </c>
    </row>
    <row r="79" spans="5:52" ht="16" x14ac:dyDescent="0.2">
      <c r="AZ79" s="93" t="s">
        <v>119</v>
      </c>
    </row>
    <row r="81" spans="52:87" ht="16" x14ac:dyDescent="0.2">
      <c r="AZ81" s="93" t="s">
        <v>120</v>
      </c>
      <c r="BA81" t="s">
        <v>121</v>
      </c>
      <c r="BB81" t="s">
        <v>122</v>
      </c>
      <c r="BC81" t="s">
        <v>123</v>
      </c>
      <c r="BD81" t="s">
        <v>124</v>
      </c>
      <c r="BE81" t="s">
        <v>125</v>
      </c>
      <c r="BF81" t="s">
        <v>126</v>
      </c>
      <c r="BG81" t="s">
        <v>127</v>
      </c>
      <c r="BH81" t="s">
        <v>128</v>
      </c>
      <c r="BI81" t="s">
        <v>129</v>
      </c>
      <c r="BJ81" t="s">
        <v>130</v>
      </c>
      <c r="BK81" t="s">
        <v>131</v>
      </c>
      <c r="BL81" t="s">
        <v>132</v>
      </c>
      <c r="BM81" t="s">
        <v>133</v>
      </c>
    </row>
    <row r="83" spans="52:87" ht="16" x14ac:dyDescent="0.2">
      <c r="AZ83" s="93" t="s">
        <v>134</v>
      </c>
      <c r="BA83" t="s">
        <v>135</v>
      </c>
      <c r="BB83" t="s">
        <v>136</v>
      </c>
    </row>
    <row r="85" spans="52:87" ht="16" x14ac:dyDescent="0.2">
      <c r="AZ85" s="93" t="s">
        <v>137</v>
      </c>
      <c r="BA85" t="s">
        <v>138</v>
      </c>
      <c r="BB85" t="s">
        <v>139</v>
      </c>
      <c r="BC85" t="s">
        <v>9</v>
      </c>
    </row>
    <row r="86" spans="52:87" ht="16" x14ac:dyDescent="0.2">
      <c r="AZ86" s="93" t="s">
        <v>140</v>
      </c>
      <c r="BA86" t="s">
        <v>141</v>
      </c>
      <c r="BB86" t="s">
        <v>42</v>
      </c>
      <c r="BC86" t="s">
        <v>98</v>
      </c>
      <c r="BD86" t="s">
        <v>5</v>
      </c>
      <c r="BE86" t="s">
        <v>82</v>
      </c>
      <c r="BF86" t="s">
        <v>99</v>
      </c>
    </row>
    <row r="88" spans="52:87" ht="16" x14ac:dyDescent="0.2">
      <c r="AZ88" s="93">
        <v>9.2999999999999999E-2</v>
      </c>
      <c r="BA88">
        <v>2.2000000000000002</v>
      </c>
      <c r="BB88">
        <v>0</v>
      </c>
      <c r="BC88">
        <v>0.154</v>
      </c>
      <c r="BD88">
        <v>3</v>
      </c>
      <c r="BE88">
        <v>0</v>
      </c>
      <c r="BF88">
        <v>0.38700000000000001</v>
      </c>
      <c r="BG88">
        <v>5.5</v>
      </c>
      <c r="BH88">
        <v>0</v>
      </c>
      <c r="BI88">
        <v>0.64300000000000002</v>
      </c>
      <c r="BJ88">
        <v>11</v>
      </c>
      <c r="BK88">
        <v>0</v>
      </c>
    </row>
    <row r="92" spans="52:87" ht="16" x14ac:dyDescent="0.2">
      <c r="AZ92" s="93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3</v>
      </c>
      <c r="BM92">
        <v>0</v>
      </c>
      <c r="BN92">
        <v>3.5</v>
      </c>
      <c r="BO92">
        <v>0</v>
      </c>
      <c r="BP92">
        <v>4.5999999999999996</v>
      </c>
      <c r="BQ92">
        <v>0</v>
      </c>
      <c r="BR92">
        <v>4.4000000000000004</v>
      </c>
      <c r="BS92">
        <v>0</v>
      </c>
      <c r="BT92">
        <v>2.2999999999999998</v>
      </c>
      <c r="BU92">
        <v>0</v>
      </c>
      <c r="BV92">
        <v>4.0999999999999996</v>
      </c>
      <c r="BW92">
        <v>3.7</v>
      </c>
      <c r="BX92">
        <v>3.7</v>
      </c>
      <c r="BY92">
        <v>7.1</v>
      </c>
      <c r="BZ92">
        <v>4.7</v>
      </c>
      <c r="CA92">
        <v>5.7</v>
      </c>
    </row>
    <row r="94" spans="52:87" ht="16" x14ac:dyDescent="0.2">
      <c r="AZ94" s="93">
        <v>20.7</v>
      </c>
      <c r="BA94">
        <v>0</v>
      </c>
      <c r="BB94">
        <v>0</v>
      </c>
      <c r="BC94">
        <v>29</v>
      </c>
      <c r="BD94">
        <v>0</v>
      </c>
      <c r="BE94">
        <v>0</v>
      </c>
      <c r="BF94">
        <v>39.299999999999997</v>
      </c>
      <c r="BG94">
        <v>0</v>
      </c>
      <c r="BH94">
        <v>0</v>
      </c>
      <c r="BI94">
        <v>46.7</v>
      </c>
      <c r="BJ94">
        <v>0</v>
      </c>
      <c r="BK94">
        <v>0</v>
      </c>
      <c r="BL94">
        <v>38.5</v>
      </c>
      <c r="BM94">
        <v>0</v>
      </c>
      <c r="BN94">
        <v>0</v>
      </c>
      <c r="BO94">
        <v>41.4</v>
      </c>
      <c r="BP94">
        <v>0</v>
      </c>
      <c r="BQ94">
        <v>0</v>
      </c>
      <c r="BR94">
        <v>35</v>
      </c>
      <c r="BS94">
        <v>0</v>
      </c>
      <c r="BT94">
        <v>0</v>
      </c>
      <c r="BU94">
        <v>30.1</v>
      </c>
      <c r="BV94">
        <v>0</v>
      </c>
      <c r="BW94">
        <v>0</v>
      </c>
      <c r="BX94">
        <v>27.8</v>
      </c>
      <c r="BY94">
        <v>1.2</v>
      </c>
      <c r="BZ94">
        <v>2.2999999999999998</v>
      </c>
      <c r="CA94">
        <v>20.7</v>
      </c>
      <c r="CB94">
        <v>1.7</v>
      </c>
      <c r="CC94">
        <v>3.5</v>
      </c>
      <c r="CD94">
        <v>15.3</v>
      </c>
      <c r="CE94">
        <v>2.4</v>
      </c>
      <c r="CF94">
        <v>4.7</v>
      </c>
      <c r="CG94">
        <v>10.8</v>
      </c>
      <c r="CH94">
        <v>3</v>
      </c>
      <c r="CI94">
        <v>5.61</v>
      </c>
    </row>
    <row r="96" spans="52:87" ht="16" x14ac:dyDescent="0.2">
      <c r="AZ96" s="93">
        <v>7.7</v>
      </c>
      <c r="BA96">
        <v>3.3</v>
      </c>
      <c r="BB96">
        <v>5.8</v>
      </c>
      <c r="BC96">
        <v>6.4</v>
      </c>
      <c r="BD96">
        <v>3.9</v>
      </c>
      <c r="BE96">
        <v>6.6</v>
      </c>
    </row>
  </sheetData>
  <pageMargins left="0.7" right="0.7" top="0.75" bottom="0.75" header="0.3" footer="0.3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P42"/>
  <sheetViews>
    <sheetView tabSelected="1" workbookViewId="0">
      <selection activeCell="F28" sqref="F28:P42"/>
    </sheetView>
  </sheetViews>
  <sheetFormatPr baseColWidth="10" defaultRowHeight="15" x14ac:dyDescent="0.2"/>
  <cols>
    <col min="7" max="7" width="21.1640625" bestFit="1" customWidth="1"/>
    <col min="8" max="8" width="18.83203125" bestFit="1" customWidth="1"/>
    <col min="9" max="9" width="16" customWidth="1"/>
    <col min="10" max="10" width="13.83203125" customWidth="1"/>
  </cols>
  <sheetData>
    <row r="8" spans="6:10" x14ac:dyDescent="0.2">
      <c r="F8" s="7"/>
      <c r="G8" s="7"/>
      <c r="H8" s="7"/>
      <c r="I8" s="7"/>
      <c r="J8" s="7"/>
    </row>
    <row r="9" spans="6:10" x14ac:dyDescent="0.2">
      <c r="F9" s="7"/>
      <c r="G9" s="7"/>
      <c r="H9" s="7"/>
      <c r="I9" s="7"/>
      <c r="J9" s="7"/>
    </row>
    <row r="10" spans="6:10" ht="16" x14ac:dyDescent="0.2">
      <c r="F10" s="93"/>
      <c r="G10" s="7"/>
      <c r="H10" s="7"/>
      <c r="I10" s="7"/>
      <c r="J10" s="7"/>
    </row>
    <row r="11" spans="6:10" x14ac:dyDescent="0.2">
      <c r="G11" s="7"/>
      <c r="H11" s="7"/>
      <c r="I11" s="7"/>
      <c r="J11" s="7"/>
    </row>
    <row r="12" spans="6:10" ht="16" x14ac:dyDescent="0.2">
      <c r="F12" s="93"/>
      <c r="G12" s="7"/>
      <c r="H12" s="7"/>
      <c r="I12" s="7"/>
      <c r="J12" s="7"/>
    </row>
    <row r="13" spans="6:10" x14ac:dyDescent="0.2">
      <c r="G13" s="7"/>
      <c r="H13" s="7"/>
      <c r="I13" s="7"/>
      <c r="J13" s="7"/>
    </row>
    <row r="14" spans="6:10" ht="16" x14ac:dyDescent="0.2">
      <c r="F14" s="93"/>
      <c r="G14" s="7"/>
      <c r="H14" s="7"/>
      <c r="I14" s="7"/>
      <c r="J14" s="7"/>
    </row>
    <row r="15" spans="6:10" x14ac:dyDescent="0.2">
      <c r="G15" s="7"/>
      <c r="H15" s="7"/>
      <c r="I15" s="7"/>
      <c r="J15" s="7"/>
    </row>
    <row r="16" spans="6:10" ht="16" x14ac:dyDescent="0.2">
      <c r="F16" s="93"/>
      <c r="G16" s="7"/>
      <c r="H16" s="7"/>
      <c r="I16" s="7"/>
      <c r="J16" s="7"/>
    </row>
    <row r="17" spans="6:16" x14ac:dyDescent="0.2">
      <c r="G17" s="7"/>
      <c r="H17" s="7"/>
      <c r="I17" s="7"/>
      <c r="J17" s="7"/>
    </row>
    <row r="18" spans="6:16" ht="16" x14ac:dyDescent="0.2">
      <c r="F18" s="93"/>
      <c r="G18" s="7"/>
      <c r="H18" s="7"/>
      <c r="I18" s="7"/>
      <c r="J18" s="7"/>
    </row>
    <row r="19" spans="6:16" x14ac:dyDescent="0.2">
      <c r="G19" s="7"/>
      <c r="H19" s="7"/>
      <c r="I19" s="7"/>
      <c r="J19" s="7"/>
    </row>
    <row r="20" spans="6:16" ht="16" x14ac:dyDescent="0.2">
      <c r="F20" s="93"/>
      <c r="G20" s="7"/>
      <c r="H20" s="7"/>
      <c r="I20" s="7"/>
      <c r="J20" s="7"/>
    </row>
    <row r="21" spans="6:16" x14ac:dyDescent="0.2">
      <c r="G21" s="7"/>
      <c r="H21" s="7"/>
      <c r="I21" s="7"/>
      <c r="J21" s="7"/>
    </row>
    <row r="22" spans="6:16" ht="16" x14ac:dyDescent="0.2">
      <c r="F22" s="93"/>
      <c r="G22" s="7"/>
      <c r="H22" s="7"/>
      <c r="I22" s="7"/>
      <c r="J22" s="7"/>
    </row>
    <row r="23" spans="6:16" x14ac:dyDescent="0.2">
      <c r="G23" s="7"/>
      <c r="H23" s="7"/>
      <c r="I23" s="7"/>
      <c r="J23" s="7"/>
    </row>
    <row r="28" spans="6:16" x14ac:dyDescent="0.2">
      <c r="F28" s="7" t="s">
        <v>172</v>
      </c>
      <c r="G28" t="s">
        <v>164</v>
      </c>
      <c r="H28" t="s">
        <v>150</v>
      </c>
      <c r="I28" t="s">
        <v>151</v>
      </c>
      <c r="J28" t="s">
        <v>163</v>
      </c>
      <c r="K28" t="s">
        <v>173</v>
      </c>
      <c r="L28" t="s">
        <v>174</v>
      </c>
      <c r="M28" t="s">
        <v>175</v>
      </c>
      <c r="N28" t="s">
        <v>176</v>
      </c>
      <c r="O28" t="s">
        <v>177</v>
      </c>
      <c r="P28" t="s">
        <v>150</v>
      </c>
    </row>
    <row r="29" spans="6:16" ht="16" x14ac:dyDescent="0.2">
      <c r="F29" s="93">
        <v>-0.2</v>
      </c>
      <c r="G29">
        <v>1.4938124999999998E-4</v>
      </c>
      <c r="H29">
        <v>4.2625000000000003E-6</v>
      </c>
      <c r="I29">
        <v>4.0106249999999996E-5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4.2625000000000003E-6</v>
      </c>
    </row>
    <row r="30" spans="6:16" x14ac:dyDescent="0.2">
      <c r="F30">
        <v>-0.25</v>
      </c>
      <c r="G30">
        <v>2.1816666666666667E-4</v>
      </c>
      <c r="H30">
        <v>9.6250000000000002E-6</v>
      </c>
      <c r="I30">
        <v>9.3041666666666674E-5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9.6250000000000002E-6</v>
      </c>
    </row>
    <row r="31" spans="6:16" ht="16" x14ac:dyDescent="0.2">
      <c r="F31" s="93">
        <v>-0.3</v>
      </c>
      <c r="G31">
        <v>4.4505E-4</v>
      </c>
      <c r="H31">
        <v>4.4343749999999997E-5</v>
      </c>
      <c r="I31">
        <v>3.1685624999999999E-4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4.4343749999999997E-5</v>
      </c>
    </row>
    <row r="32" spans="6:16" x14ac:dyDescent="0.2">
      <c r="F32">
        <v>-0.35</v>
      </c>
      <c r="G32">
        <v>5.6664374999999996E-4</v>
      </c>
      <c r="H32">
        <v>1.4735416666666667E-4</v>
      </c>
      <c r="I32">
        <v>6.2558541666666667E-4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1.4735416666666667E-4</v>
      </c>
    </row>
    <row r="33" spans="6:16" ht="16" x14ac:dyDescent="0.2">
      <c r="F33" s="93">
        <v>-0.4</v>
      </c>
      <c r="G33">
        <v>1.0562500000000001E-3</v>
      </c>
      <c r="H33">
        <v>2.2500000000000002E-4</v>
      </c>
      <c r="I33">
        <v>8.0208333333333336E-4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2.2500000000000002E-4</v>
      </c>
    </row>
    <row r="34" spans="6:16" x14ac:dyDescent="0.2">
      <c r="F34">
        <v>-0.45</v>
      </c>
      <c r="G34">
        <v>8.941666666666667E-4</v>
      </c>
      <c r="H34">
        <v>9.1266666666666677E-4</v>
      </c>
      <c r="I34">
        <v>1.2765000000000001E-3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9.1266666666666677E-4</v>
      </c>
    </row>
    <row r="35" spans="6:16" ht="16" x14ac:dyDescent="0.2">
      <c r="F35" s="93">
        <v>-0.5</v>
      </c>
      <c r="G35">
        <v>9.4499999999999998E-4</v>
      </c>
      <c r="H35">
        <v>1.1515E-3</v>
      </c>
      <c r="I35">
        <v>1.225E-3</v>
      </c>
      <c r="J35">
        <v>1.7849999999999997E-4</v>
      </c>
      <c r="K35">
        <v>0</v>
      </c>
      <c r="L35">
        <v>0</v>
      </c>
      <c r="M35">
        <v>0</v>
      </c>
      <c r="N35">
        <v>1.05E-4</v>
      </c>
      <c r="O35">
        <v>7.3499999999999998E-5</v>
      </c>
      <c r="P35">
        <v>1.1515E-3</v>
      </c>
    </row>
    <row r="36" spans="6:16" x14ac:dyDescent="0.2">
      <c r="F36">
        <v>-0.55000000000000004</v>
      </c>
      <c r="G36">
        <v>1.3704166666666671E-3</v>
      </c>
      <c r="H36">
        <v>2.1016666666666666E-3</v>
      </c>
      <c r="I36">
        <v>1.6304166666666667E-3</v>
      </c>
      <c r="J36">
        <v>3.141666666666667E-4</v>
      </c>
      <c r="K36">
        <v>0</v>
      </c>
      <c r="L36">
        <v>0</v>
      </c>
      <c r="M36">
        <v>0</v>
      </c>
      <c r="N36">
        <v>1.8958333333333332E-4</v>
      </c>
      <c r="O36">
        <v>1.2458333333333334E-4</v>
      </c>
      <c r="P36">
        <v>2.1016666666666666E-3</v>
      </c>
    </row>
    <row r="37" spans="6:16" ht="16" x14ac:dyDescent="0.2">
      <c r="F37" s="93">
        <v>-0.6</v>
      </c>
      <c r="G37">
        <v>1.9548333333333332E-3</v>
      </c>
      <c r="H37">
        <v>2.1463541666666666E-3</v>
      </c>
      <c r="I37">
        <v>1.8359583333333333E-3</v>
      </c>
      <c r="J37">
        <v>6.6702083333333327E-4</v>
      </c>
      <c r="K37">
        <v>7.9249999999999988E-5</v>
      </c>
      <c r="L37">
        <v>1.5189583333333334E-4</v>
      </c>
      <c r="M37">
        <v>0</v>
      </c>
      <c r="N37">
        <v>3.0379166666666667E-4</v>
      </c>
      <c r="O37">
        <v>1.3208333333333334E-4</v>
      </c>
      <c r="P37">
        <v>2.1463541666666666E-3</v>
      </c>
    </row>
    <row r="38" spans="6:16" x14ac:dyDescent="0.2">
      <c r="F38">
        <v>-0.65</v>
      </c>
      <c r="G38">
        <v>3.4538541666666667E-3</v>
      </c>
      <c r="H38">
        <v>3.1036041666666664E-3</v>
      </c>
      <c r="I38">
        <v>2.0139374999999997E-3</v>
      </c>
      <c r="J38">
        <v>1.1577708333333334E-3</v>
      </c>
      <c r="K38">
        <v>1.6539583333333334E-4</v>
      </c>
      <c r="L38">
        <v>3.405208333333333E-4</v>
      </c>
      <c r="M38">
        <v>0</v>
      </c>
      <c r="N38">
        <v>4.2808333333333338E-4</v>
      </c>
      <c r="O38">
        <v>2.2377083333333334E-4</v>
      </c>
      <c r="P38">
        <v>3.1036041666666664E-3</v>
      </c>
    </row>
    <row r="39" spans="6:16" ht="16" x14ac:dyDescent="0.2">
      <c r="F39" s="93">
        <v>-0.7</v>
      </c>
      <c r="G39">
        <v>5.3812499999999997E-3</v>
      </c>
      <c r="H39">
        <v>4.112812500000001E-3</v>
      </c>
      <c r="I39">
        <v>1.9603125000000002E-3</v>
      </c>
      <c r="J39">
        <v>1.3581250000000004E-3</v>
      </c>
      <c r="K39">
        <v>3.0749999999999999E-4</v>
      </c>
      <c r="L39">
        <v>6.0218750000000008E-4</v>
      </c>
      <c r="M39">
        <v>0</v>
      </c>
      <c r="N39">
        <v>2.9468749999999997E-4</v>
      </c>
      <c r="O39">
        <v>1.5375E-4</v>
      </c>
      <c r="P39">
        <v>4.112812500000001E-3</v>
      </c>
    </row>
    <row r="40" spans="6:16" x14ac:dyDescent="0.2">
      <c r="F40">
        <v>-0.75</v>
      </c>
      <c r="G40">
        <v>8.8686166666666674E-3</v>
      </c>
      <c r="H40">
        <v>4.5576666666666665E-3</v>
      </c>
      <c r="I40">
        <v>2.0339999999999998E-3</v>
      </c>
      <c r="J40">
        <v>3.3730499999999998E-3</v>
      </c>
      <c r="K40">
        <v>5.6499999999999986E-4</v>
      </c>
      <c r="L40">
        <v>1.0565500000000001E-3</v>
      </c>
      <c r="M40">
        <v>6.9683333333333338E-4</v>
      </c>
      <c r="N40">
        <v>7.7216666666666644E-4</v>
      </c>
      <c r="O40">
        <v>2.8249999999999998E-4</v>
      </c>
      <c r="P40">
        <v>4.5576666666666665E-3</v>
      </c>
    </row>
    <row r="41" spans="6:16" ht="16" x14ac:dyDescent="0.2">
      <c r="F41" s="93">
        <v>-0.8</v>
      </c>
      <c r="G41">
        <v>1.2581875000000001E-2</v>
      </c>
      <c r="H41">
        <v>5.637500000000001E-3</v>
      </c>
      <c r="I41">
        <v>1.9731250000000001E-3</v>
      </c>
      <c r="J41">
        <v>5.4325000000000007E-3</v>
      </c>
      <c r="K41">
        <v>8.4562500000000013E-4</v>
      </c>
      <c r="L41">
        <v>1.4862500000000002E-3</v>
      </c>
      <c r="M41">
        <v>1.819375E-3</v>
      </c>
      <c r="N41">
        <v>9.4812500000000007E-4</v>
      </c>
      <c r="O41">
        <v>3.3312500000000003E-4</v>
      </c>
      <c r="P41">
        <v>5.637500000000001E-3</v>
      </c>
    </row>
    <row r="42" spans="6:16" x14ac:dyDescent="0.2">
      <c r="F42">
        <v>-0.85</v>
      </c>
      <c r="G42">
        <v>1.9371875E-2</v>
      </c>
      <c r="H42">
        <v>3.1875000000000002E-3</v>
      </c>
      <c r="I42">
        <v>2E-3</v>
      </c>
      <c r="J42">
        <v>6.6906250000000004E-3</v>
      </c>
      <c r="K42">
        <v>1.21875E-3</v>
      </c>
      <c r="L42">
        <v>2.0625000000000001E-3</v>
      </c>
      <c r="M42">
        <v>1.7812500000000001E-3</v>
      </c>
      <c r="N42">
        <v>1.46875E-3</v>
      </c>
      <c r="O42">
        <v>1.5937499999999998E-4</v>
      </c>
      <c r="P42">
        <v>3.1875000000000002E-3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AL131"/>
  <sheetViews>
    <sheetView workbookViewId="0">
      <selection activeCell="M4" activeCellId="1" sqref="A4:A16 M4:M16"/>
    </sheetView>
  </sheetViews>
  <sheetFormatPr baseColWidth="10" defaultColWidth="8.83203125" defaultRowHeight="15" x14ac:dyDescent="0.2"/>
  <cols>
    <col min="4" max="4" width="14.33203125" customWidth="1"/>
    <col min="12" max="12" width="8.83203125" style="87"/>
    <col min="21" max="21" width="12.6640625" bestFit="1" customWidth="1"/>
    <col min="23" max="24" width="12.6640625" bestFit="1" customWidth="1"/>
    <col min="25" max="30" width="12.6640625" customWidth="1"/>
  </cols>
  <sheetData>
    <row r="1" spans="1:38" x14ac:dyDescent="0.2">
      <c r="A1" s="4" t="s">
        <v>34</v>
      </c>
      <c r="E1" s="97" t="s">
        <v>8</v>
      </c>
      <c r="F1" s="97"/>
      <c r="G1" s="97"/>
      <c r="H1" s="97"/>
      <c r="I1" s="97"/>
      <c r="J1" s="97"/>
      <c r="K1" s="97"/>
      <c r="M1" s="97" t="s">
        <v>32</v>
      </c>
      <c r="N1" s="97"/>
      <c r="O1" s="97"/>
      <c r="P1" s="97"/>
      <c r="Q1" s="97"/>
      <c r="R1" s="97"/>
      <c r="S1" s="97"/>
      <c r="T1" s="97"/>
      <c r="W1" t="s">
        <v>7</v>
      </c>
      <c r="X1" t="s">
        <v>58</v>
      </c>
      <c r="Y1" t="s">
        <v>60</v>
      </c>
      <c r="Z1" t="s">
        <v>61</v>
      </c>
      <c r="AA1" t="s">
        <v>62</v>
      </c>
      <c r="AB1" t="s">
        <v>63</v>
      </c>
      <c r="AE1" s="97" t="s">
        <v>33</v>
      </c>
      <c r="AF1" s="97"/>
      <c r="AG1" s="97"/>
      <c r="AH1" s="97"/>
      <c r="AI1" s="97"/>
      <c r="AJ1" s="97"/>
      <c r="AK1" s="97"/>
      <c r="AL1" s="97"/>
    </row>
    <row r="2" spans="1:38" x14ac:dyDescent="0.2">
      <c r="A2" s="4" t="s">
        <v>96</v>
      </c>
      <c r="E2" s="9"/>
      <c r="F2" s="9"/>
      <c r="G2" s="9"/>
      <c r="H2" s="9"/>
      <c r="I2" s="9"/>
      <c r="J2" s="9"/>
      <c r="K2" s="9"/>
      <c r="M2" s="91"/>
      <c r="N2" s="91"/>
      <c r="O2" s="91"/>
      <c r="P2" s="91"/>
      <c r="Q2" s="91"/>
      <c r="R2" s="91"/>
      <c r="S2" s="9"/>
      <c r="T2" s="9"/>
      <c r="W2" t="s">
        <v>2</v>
      </c>
      <c r="X2" t="s">
        <v>9</v>
      </c>
      <c r="Y2" t="s">
        <v>9</v>
      </c>
      <c r="Z2" t="s">
        <v>9</v>
      </c>
      <c r="AA2" t="s">
        <v>9</v>
      </c>
      <c r="AB2" t="s">
        <v>9</v>
      </c>
      <c r="AE2" s="9"/>
      <c r="AF2" s="9"/>
      <c r="AG2" s="9"/>
      <c r="AH2" s="9"/>
      <c r="AI2" s="9"/>
      <c r="AJ2" s="9"/>
      <c r="AK2" s="9"/>
      <c r="AL2" s="9"/>
    </row>
    <row r="3" spans="1:38" x14ac:dyDescent="0.2">
      <c r="A3" t="s">
        <v>26</v>
      </c>
      <c r="B3" s="4" t="s">
        <v>35</v>
      </c>
      <c r="C3" s="4" t="s">
        <v>36</v>
      </c>
      <c r="D3" s="4" t="s">
        <v>37</v>
      </c>
      <c r="E3" s="5" t="s">
        <v>38</v>
      </c>
      <c r="F3" s="5" t="s">
        <v>39</v>
      </c>
      <c r="G3" s="5" t="s">
        <v>5</v>
      </c>
      <c r="H3" s="5" t="s">
        <v>40</v>
      </c>
      <c r="I3" s="5" t="s">
        <v>41</v>
      </c>
      <c r="J3" s="5" t="s">
        <v>42</v>
      </c>
      <c r="K3" s="4" t="s">
        <v>83</v>
      </c>
      <c r="L3" s="88" t="s">
        <v>49</v>
      </c>
      <c r="M3" s="90" t="s">
        <v>38</v>
      </c>
      <c r="N3" s="90" t="s">
        <v>39</v>
      </c>
      <c r="O3" s="90" t="s">
        <v>5</v>
      </c>
      <c r="P3" s="90" t="s">
        <v>40</v>
      </c>
      <c r="Q3" s="90" t="s">
        <v>41</v>
      </c>
      <c r="R3" s="90" t="s">
        <v>42</v>
      </c>
      <c r="S3" s="4" t="s">
        <v>49</v>
      </c>
      <c r="T3" s="4" t="s">
        <v>26</v>
      </c>
      <c r="U3" s="4" t="s">
        <v>74</v>
      </c>
      <c r="V3" s="4" t="s">
        <v>54</v>
      </c>
      <c r="W3" s="4" t="s">
        <v>53</v>
      </c>
      <c r="X3" s="4" t="s">
        <v>26</v>
      </c>
      <c r="Y3" s="4" t="s">
        <v>26</v>
      </c>
      <c r="Z3" s="4" t="s">
        <v>26</v>
      </c>
      <c r="AA3" s="4" t="s">
        <v>26</v>
      </c>
      <c r="AB3" s="4" t="s">
        <v>26</v>
      </c>
      <c r="AC3" s="5" t="s">
        <v>38</v>
      </c>
      <c r="AD3" s="5" t="s">
        <v>39</v>
      </c>
      <c r="AE3" s="5" t="s">
        <v>5</v>
      </c>
      <c r="AF3" s="5" t="s">
        <v>40</v>
      </c>
      <c r="AG3" s="5" t="s">
        <v>41</v>
      </c>
      <c r="AH3" s="5" t="s">
        <v>42</v>
      </c>
      <c r="AI3" s="5" t="s">
        <v>49</v>
      </c>
      <c r="AJ3" s="5" t="s">
        <v>81</v>
      </c>
    </row>
    <row r="4" spans="1:38" x14ac:dyDescent="0.2">
      <c r="A4">
        <v>-0.59993749830553478</v>
      </c>
      <c r="B4">
        <v>10.415598155467721</v>
      </c>
      <c r="C4">
        <v>-1.0936405410420036</v>
      </c>
      <c r="D4">
        <v>-0.24303123134266746</v>
      </c>
      <c r="E4" s="6">
        <v>0.99471937939490618</v>
      </c>
      <c r="F4" s="6"/>
      <c r="G4" s="6">
        <v>3.12380390225451E-2</v>
      </c>
      <c r="H4" s="6">
        <v>6.5904517762790816E-3</v>
      </c>
      <c r="I4" s="6"/>
      <c r="J4" s="6"/>
      <c r="K4" s="6">
        <v>1.0325478701937305</v>
      </c>
      <c r="L4" s="89">
        <f t="shared" ref="L4:L16" si="0">SUM(F4:J4)</f>
        <v>3.782849079882418E-2</v>
      </c>
      <c r="M4" s="28">
        <v>-0.2431847192050425</v>
      </c>
      <c r="N4" s="28">
        <v>0</v>
      </c>
      <c r="O4" s="28">
        <v>-7.1549946933263629E-3</v>
      </c>
      <c r="P4" s="28">
        <v>-1.8058119782923601E-3</v>
      </c>
      <c r="Q4" s="28">
        <v>0</v>
      </c>
      <c r="R4" s="28">
        <v>0</v>
      </c>
      <c r="S4">
        <f>SUM(N4:R4)</f>
        <v>-8.9608066716187224E-3</v>
      </c>
      <c r="T4">
        <f t="shared" ref="T4:T16" si="1">S4/M4</f>
        <v>3.6847737394483944E-2</v>
      </c>
      <c r="U4">
        <f>(N4/1000*4.5*36000/(8*96485)+O4/1000*4.5*36000/(2*96485)+P4/1000*4.5*36000/(2*96485)+Q4/1000*4.5*36000/(6*96485)+R4/1000*2*4.5*36000/(12*96485))/10</f>
        <v>-7.5226754459358098E-7</v>
      </c>
      <c r="W4">
        <f>SUM(N4,Q4,R4)</f>
        <v>0</v>
      </c>
      <c r="Y4">
        <f t="shared" ref="Y4:Y16" si="2">O4/SUM(P4,O4)</f>
        <v>0.79847662777818318</v>
      </c>
      <c r="Z4">
        <f t="shared" ref="Z4:Z16" si="3">P4/SUM(P4,O4)</f>
        <v>0.2015233722218169</v>
      </c>
      <c r="AC4">
        <f>-M4</f>
        <v>0.2431847192050425</v>
      </c>
      <c r="AD4">
        <f>-N4</f>
        <v>0</v>
      </c>
      <c r="AE4">
        <f>-O4</f>
        <v>7.1549946933263629E-3</v>
      </c>
      <c r="AF4">
        <f t="shared" ref="AF4:AF16" si="4">-P4</f>
        <v>1.8058119782923601E-3</v>
      </c>
      <c r="AG4">
        <f t="shared" ref="AG4:AG16" si="5">-Q4</f>
        <v>0</v>
      </c>
      <c r="AH4">
        <f t="shared" ref="AH4:AH16" si="6">-R4</f>
        <v>0</v>
      </c>
      <c r="AI4">
        <f t="shared" ref="AI4:AI14" si="7">SUM(AD4:AH4)</f>
        <v>8.9608066716187224E-3</v>
      </c>
      <c r="AJ4">
        <f>SUM(AG4:AH4,AD4)</f>
        <v>0</v>
      </c>
    </row>
    <row r="5" spans="1:38" x14ac:dyDescent="0.2">
      <c r="A5">
        <v>-0.67411291655548189</v>
      </c>
      <c r="B5">
        <v>11.412895652173914</v>
      </c>
      <c r="C5">
        <v>-1.4335979752174755</v>
      </c>
      <c r="D5">
        <v>-0.31857732782610565</v>
      </c>
      <c r="E5" s="6">
        <v>0.89710268540554317</v>
      </c>
      <c r="F5" s="6"/>
      <c r="G5" s="6">
        <v>8.0359362170123808E-2</v>
      </c>
      <c r="H5" s="6">
        <v>2.247295626119707E-2</v>
      </c>
      <c r="I5" s="6"/>
      <c r="J5" s="6"/>
      <c r="K5" s="6">
        <v>0.99993500383686407</v>
      </c>
      <c r="L5" s="89">
        <f t="shared" si="0"/>
        <v>0.10283231843132087</v>
      </c>
      <c r="M5" s="28">
        <v>-0.28953226438302931</v>
      </c>
      <c r="N5" s="28">
        <v>0</v>
      </c>
      <c r="O5" s="28">
        <v>-2.4108334024395776E-2</v>
      </c>
      <c r="P5" s="28">
        <v>-7.0801541739507314E-3</v>
      </c>
      <c r="Q5" s="28">
        <v>0</v>
      </c>
      <c r="R5" s="28">
        <v>0</v>
      </c>
      <c r="S5">
        <f t="shared" ref="S5:S16" si="8">SUM(N5:R5)</f>
        <v>-3.1188488198346506E-2</v>
      </c>
      <c r="T5">
        <f>S5/M5</f>
        <v>0.10772025102213303</v>
      </c>
      <c r="U5">
        <f>(N5/1000*4.5*36000/(8*96485)+O5/1000*4.5*36000/(2*96485)+P5/1000*4.5*36000/(2*96485)+Q5/1000*4.5*36000/(6*96485)+R5/1000*2*4.5*36000/(12*96485))/10</f>
        <v>-2.6183008178121647E-6</v>
      </c>
      <c r="W5">
        <f t="shared" ref="W5:W15" si="9">SUM(N5,Q5,R5)</f>
        <v>0</v>
      </c>
      <c r="Y5">
        <f t="shared" si="2"/>
        <v>0.77298822152187252</v>
      </c>
      <c r="Z5">
        <f t="shared" si="3"/>
        <v>0.22701177847812751</v>
      </c>
      <c r="AC5">
        <f t="shared" ref="AC5:AC16" si="10">-M5</f>
        <v>0.28953226438302931</v>
      </c>
      <c r="AD5">
        <f t="shared" ref="AD5:AD16" si="11">-N5</f>
        <v>0</v>
      </c>
      <c r="AE5">
        <f t="shared" ref="AE5:AE16" si="12">-O5</f>
        <v>2.4108334024395776E-2</v>
      </c>
      <c r="AF5">
        <f t="shared" si="4"/>
        <v>7.0801541739507314E-3</v>
      </c>
      <c r="AG5">
        <f t="shared" si="5"/>
        <v>0</v>
      </c>
      <c r="AH5">
        <f t="shared" si="6"/>
        <v>0</v>
      </c>
      <c r="AI5">
        <f t="shared" si="7"/>
        <v>3.1188488198346506E-2</v>
      </c>
      <c r="AJ5">
        <f t="shared" ref="AJ5:AJ16" si="13">SUM(AG5:AH5,AD5)</f>
        <v>0</v>
      </c>
    </row>
    <row r="6" spans="1:38" x14ac:dyDescent="0.2">
      <c r="A6">
        <v>-0.74706213522329223</v>
      </c>
      <c r="B6">
        <v>12.795038043478261</v>
      </c>
      <c r="C6">
        <v>-2.2796616684538273</v>
      </c>
      <c r="D6">
        <v>-0.50659148187862824</v>
      </c>
      <c r="E6" s="6">
        <v>0.80851815396743754</v>
      </c>
      <c r="F6" s="6"/>
      <c r="G6" s="6">
        <v>0.20039833464590517</v>
      </c>
      <c r="H6" s="6">
        <v>4.3614199708850833E-3</v>
      </c>
      <c r="I6" s="6"/>
      <c r="J6" s="6"/>
      <c r="K6" s="6">
        <v>1.0132779085842278</v>
      </c>
      <c r="L6" s="89">
        <f t="shared" si="0"/>
        <v>0.20475975461679025</v>
      </c>
      <c r="M6" s="28">
        <v>-0.41142980668769902</v>
      </c>
      <c r="N6" s="28">
        <v>0</v>
      </c>
      <c r="O6" s="28">
        <v>-0.10101520663853432</v>
      </c>
      <c r="P6" s="28">
        <v>-1.9373433403563813E-3</v>
      </c>
      <c r="Q6" s="28">
        <v>0</v>
      </c>
      <c r="R6" s="28">
        <v>0</v>
      </c>
      <c r="S6">
        <f t="shared" si="8"/>
        <v>-0.1029525499788907</v>
      </c>
      <c r="T6">
        <f t="shared" si="1"/>
        <v>0.25023114102435007</v>
      </c>
      <c r="U6">
        <f t="shared" ref="U6:U16" si="14">(N6/1000*4.5*36000/(8*96485)+O6/1000*4.5*36000/(2*96485)+P6/1000*4.5*36000/(2*96485)+Q6/1000*4.5*36000/(6*96485)+R6/1000*2*4.5*36000/(12*96485))/10</f>
        <v>-8.6429564681454603E-6</v>
      </c>
      <c r="W6">
        <f t="shared" si="9"/>
        <v>0</v>
      </c>
      <c r="Y6">
        <f t="shared" si="2"/>
        <v>0.98118217236237848</v>
      </c>
      <c r="Z6">
        <f t="shared" si="3"/>
        <v>1.8817827637621531E-2</v>
      </c>
      <c r="AC6">
        <f t="shared" si="10"/>
        <v>0.41142980668769902</v>
      </c>
      <c r="AD6">
        <f t="shared" si="11"/>
        <v>0</v>
      </c>
      <c r="AE6">
        <f t="shared" si="12"/>
        <v>0.10101520663853432</v>
      </c>
      <c r="AF6">
        <f t="shared" si="4"/>
        <v>1.9373433403563813E-3</v>
      </c>
      <c r="AG6">
        <f t="shared" si="5"/>
        <v>0</v>
      </c>
      <c r="AH6">
        <f t="shared" si="6"/>
        <v>0</v>
      </c>
      <c r="AI6">
        <f t="shared" si="7"/>
        <v>0.1029525499788907</v>
      </c>
      <c r="AJ6">
        <f t="shared" si="13"/>
        <v>0</v>
      </c>
    </row>
    <row r="7" spans="1:38" x14ac:dyDescent="0.2">
      <c r="A7">
        <v>-0.82123017286296229</v>
      </c>
      <c r="B7">
        <v>11.362657608695653</v>
      </c>
      <c r="C7">
        <v>-2.9942691238200978</v>
      </c>
      <c r="D7">
        <v>-0.66539313862668847</v>
      </c>
      <c r="E7" s="6">
        <v>0.40336918793637117</v>
      </c>
      <c r="F7" s="6"/>
      <c r="G7" s="6">
        <v>0.47497901657476549</v>
      </c>
      <c r="H7" s="6">
        <v>1.4341746250650612E-2</v>
      </c>
      <c r="I7" s="6"/>
      <c r="J7" s="6"/>
      <c r="K7" s="6">
        <v>0.89268995076178725</v>
      </c>
      <c r="L7" s="89">
        <f t="shared" si="0"/>
        <v>0.48932076282541609</v>
      </c>
      <c r="M7" s="28">
        <v>-0.27167429442968344</v>
      </c>
      <c r="N7" s="28">
        <v>0</v>
      </c>
      <c r="O7" s="28">
        <v>-0.31052772428483605</v>
      </c>
      <c r="P7" s="28">
        <v>-9.3766013987528398E-3</v>
      </c>
      <c r="Q7" s="28">
        <v>0</v>
      </c>
      <c r="R7" s="28">
        <v>0</v>
      </c>
      <c r="S7">
        <f t="shared" si="8"/>
        <v>-0.3199043256835889</v>
      </c>
      <c r="T7">
        <f t="shared" si="1"/>
        <v>1.1775288727818476</v>
      </c>
      <c r="U7">
        <f>(N7/1000*4.5*36000/(8*96485)+O7/1000*4.5*36000/(2*96485)+P7/1000*4.5*36000/(2*96485)+Q7/1000*4.5*36000/(6*96485)+R7/1000*2*4.5*36000/(12*96485))/10</f>
        <v>-2.6856247479266929E-5</v>
      </c>
      <c r="W7">
        <f t="shared" si="9"/>
        <v>0</v>
      </c>
      <c r="Y7">
        <f t="shared" si="2"/>
        <v>0.97068935726731287</v>
      </c>
      <c r="Z7">
        <f t="shared" si="3"/>
        <v>2.9310642732687062E-2</v>
      </c>
      <c r="AC7">
        <f t="shared" si="10"/>
        <v>0.27167429442968344</v>
      </c>
      <c r="AD7">
        <f t="shared" si="11"/>
        <v>0</v>
      </c>
      <c r="AE7">
        <f t="shared" si="12"/>
        <v>0.31052772428483605</v>
      </c>
      <c r="AF7">
        <f t="shared" si="4"/>
        <v>9.3766013987528398E-3</v>
      </c>
      <c r="AG7">
        <f t="shared" si="5"/>
        <v>0</v>
      </c>
      <c r="AH7">
        <f t="shared" si="6"/>
        <v>0</v>
      </c>
      <c r="AI7">
        <f t="shared" si="7"/>
        <v>0.3199043256835889</v>
      </c>
      <c r="AJ7">
        <f t="shared" si="13"/>
        <v>0</v>
      </c>
    </row>
    <row r="8" spans="1:38" x14ac:dyDescent="0.2">
      <c r="A8">
        <v>-0.89159784357512906</v>
      </c>
      <c r="B8">
        <v>11.148960652173912</v>
      </c>
      <c r="C8">
        <v>-5.6813856451971168</v>
      </c>
      <c r="D8">
        <v>-1.262530143377137</v>
      </c>
      <c r="E8" s="6">
        <v>0.29104898935580009</v>
      </c>
      <c r="F8" s="6"/>
      <c r="G8" s="6">
        <v>0.64020714785434396</v>
      </c>
      <c r="H8" s="6">
        <v>9.5546089425002263E-3</v>
      </c>
      <c r="I8" s="6"/>
      <c r="J8" s="6"/>
      <c r="K8" s="6">
        <v>0.94081074615264426</v>
      </c>
      <c r="L8" s="89">
        <f t="shared" si="0"/>
        <v>0.64976175679684423</v>
      </c>
      <c r="M8" s="28">
        <v>-0.39635499121730294</v>
      </c>
      <c r="N8" s="28">
        <v>0</v>
      </c>
      <c r="O8" s="28">
        <v>-0.79484878394555258</v>
      </c>
      <c r="P8" s="28">
        <v>-1.1750120387622878E-2</v>
      </c>
      <c r="Q8" s="28">
        <v>0</v>
      </c>
      <c r="R8" s="28">
        <v>0</v>
      </c>
      <c r="S8">
        <f t="shared" si="8"/>
        <v>-0.80659890433317549</v>
      </c>
      <c r="T8">
        <f t="shared" si="1"/>
        <v>2.035041622299024</v>
      </c>
      <c r="U8">
        <f t="shared" si="14"/>
        <v>-6.7714682335064734E-5</v>
      </c>
      <c r="W8">
        <f t="shared" si="9"/>
        <v>0</v>
      </c>
      <c r="Y8">
        <f t="shared" si="2"/>
        <v>0.9854325113454786</v>
      </c>
      <c r="Z8">
        <f t="shared" si="3"/>
        <v>1.456748865452134E-2</v>
      </c>
      <c r="AC8">
        <f t="shared" si="10"/>
        <v>0.39635499121730294</v>
      </c>
      <c r="AD8">
        <f t="shared" si="11"/>
        <v>0</v>
      </c>
      <c r="AE8">
        <f t="shared" si="12"/>
        <v>0.79484878394555258</v>
      </c>
      <c r="AF8">
        <f t="shared" si="4"/>
        <v>1.1750120387622878E-2</v>
      </c>
      <c r="AG8">
        <f t="shared" si="5"/>
        <v>0</v>
      </c>
      <c r="AH8">
        <f t="shared" si="6"/>
        <v>0</v>
      </c>
      <c r="AI8">
        <f t="shared" si="7"/>
        <v>0.80659890433317549</v>
      </c>
      <c r="AJ8">
        <f t="shared" si="13"/>
        <v>0</v>
      </c>
    </row>
    <row r="9" spans="1:38" x14ac:dyDescent="0.2">
      <c r="A9">
        <v>-0.953201689806917</v>
      </c>
      <c r="B9">
        <v>10.773517971014494</v>
      </c>
      <c r="C9">
        <v>-12.089157167758628</v>
      </c>
      <c r="D9">
        <v>-2.6864793706130281</v>
      </c>
      <c r="E9" s="6">
        <v>0.20673384549684884</v>
      </c>
      <c r="F9" s="6"/>
      <c r="G9" s="6">
        <v>0.79839756936973372</v>
      </c>
      <c r="H9" s="6">
        <v>1.1822422422417758E-2</v>
      </c>
      <c r="I9" s="6"/>
      <c r="J9" s="6"/>
      <c r="K9" s="6">
        <v>1.0169538372890004</v>
      </c>
      <c r="L9" s="89">
        <f t="shared" si="0"/>
        <v>0.81021999179215143</v>
      </c>
      <c r="M9" s="28">
        <v>-0.57623606544594053</v>
      </c>
      <c r="N9" s="28">
        <v>0</v>
      </c>
      <c r="O9" s="28">
        <v>-2.1247791925847097</v>
      </c>
      <c r="P9" s="28">
        <v>-3.1690932668635506E-2</v>
      </c>
      <c r="Q9" s="28">
        <v>0</v>
      </c>
      <c r="R9" s="28">
        <v>0</v>
      </c>
      <c r="S9">
        <f t="shared" si="8"/>
        <v>-2.1564701252533451</v>
      </c>
      <c r="T9">
        <f t="shared" si="1"/>
        <v>3.7423380009796592</v>
      </c>
      <c r="U9">
        <f t="shared" si="14"/>
        <v>-1.8103755002904178E-4</v>
      </c>
      <c r="W9">
        <f t="shared" si="9"/>
        <v>0</v>
      </c>
      <c r="Y9">
        <f t="shared" si="2"/>
        <v>0.98530425610931549</v>
      </c>
      <c r="Z9">
        <f t="shared" si="3"/>
        <v>1.4695743890684509E-2</v>
      </c>
      <c r="AC9">
        <f t="shared" si="10"/>
        <v>0.57623606544594053</v>
      </c>
      <c r="AD9">
        <f t="shared" si="11"/>
        <v>0</v>
      </c>
      <c r="AE9">
        <f t="shared" si="12"/>
        <v>2.1247791925847097</v>
      </c>
      <c r="AF9">
        <f t="shared" si="4"/>
        <v>3.1690932668635506E-2</v>
      </c>
      <c r="AG9">
        <f t="shared" si="5"/>
        <v>0</v>
      </c>
      <c r="AH9">
        <f t="shared" si="6"/>
        <v>0</v>
      </c>
      <c r="AI9">
        <f t="shared" si="7"/>
        <v>2.1564701252533451</v>
      </c>
      <c r="AJ9">
        <f t="shared" si="13"/>
        <v>0</v>
      </c>
    </row>
    <row r="10" spans="1:38" s="2" customFormat="1" x14ac:dyDescent="0.2">
      <c r="A10">
        <v>-1.0211944576745053</v>
      </c>
      <c r="B10">
        <v>10.559299999999999</v>
      </c>
      <c r="C10">
        <v>-18.083929985386455</v>
      </c>
      <c r="D10">
        <v>-4.018651107863656</v>
      </c>
      <c r="E10" s="6">
        <v>5.4086556912590039E-2</v>
      </c>
      <c r="F10" s="6"/>
      <c r="G10" s="6">
        <v>0.93331414847628336</v>
      </c>
      <c r="H10" s="6">
        <v>1.784460978725242E-2</v>
      </c>
      <c r="I10" s="6"/>
      <c r="J10" s="6"/>
      <c r="K10" s="6">
        <v>1.0052453151761258</v>
      </c>
      <c r="L10" s="89">
        <f t="shared" si="0"/>
        <v>0.9511587582635358</v>
      </c>
      <c r="M10" s="28">
        <v>-0.21993717379767413</v>
      </c>
      <c r="N10" s="28">
        <v>0</v>
      </c>
      <c r="O10" s="28">
        <v>-3.7518715262560463</v>
      </c>
      <c r="P10" s="28">
        <v>-7.1786675415637519E-2</v>
      </c>
      <c r="Q10" s="28">
        <v>0</v>
      </c>
      <c r="R10" s="28">
        <v>0</v>
      </c>
      <c r="S10">
        <f t="shared" si="8"/>
        <v>-3.8236582016716838</v>
      </c>
      <c r="T10">
        <f t="shared" si="1"/>
        <v>17.385229316391804</v>
      </c>
      <c r="U10">
        <f t="shared" si="14"/>
        <v>-3.2099944482085954E-4</v>
      </c>
      <c r="V10"/>
      <c r="W10">
        <f t="shared" si="9"/>
        <v>0</v>
      </c>
      <c r="X10"/>
      <c r="Y10">
        <f t="shared" si="2"/>
        <v>0.98122565573872356</v>
      </c>
      <c r="Z10">
        <f>P10/SUM(P10,O10)</f>
        <v>1.8774344261276478E-2</v>
      </c>
      <c r="AA10"/>
      <c r="AB10"/>
      <c r="AC10" s="2">
        <f t="shared" si="10"/>
        <v>0.21993717379767413</v>
      </c>
      <c r="AD10" s="2">
        <f t="shared" si="11"/>
        <v>0</v>
      </c>
      <c r="AE10" s="2">
        <f t="shared" si="12"/>
        <v>3.7518715262560463</v>
      </c>
      <c r="AF10" s="2">
        <f t="shared" si="4"/>
        <v>7.1786675415637519E-2</v>
      </c>
      <c r="AG10" s="2">
        <f t="shared" si="5"/>
        <v>0</v>
      </c>
      <c r="AH10" s="2">
        <f t="shared" si="6"/>
        <v>0</v>
      </c>
      <c r="AI10">
        <f t="shared" si="7"/>
        <v>3.8236582016716838</v>
      </c>
      <c r="AJ10">
        <f t="shared" si="13"/>
        <v>0</v>
      </c>
    </row>
    <row r="11" spans="1:38" x14ac:dyDescent="0.2">
      <c r="A11">
        <v>-1.086976452801897</v>
      </c>
      <c r="B11">
        <v>10.463814202898551</v>
      </c>
      <c r="C11">
        <v>-23.061126293680658</v>
      </c>
      <c r="D11">
        <v>-5.1246947319290355</v>
      </c>
      <c r="E11" s="6">
        <v>0.12604557217092058</v>
      </c>
      <c r="F11" s="6"/>
      <c r="G11" s="6">
        <v>0.8925048803969311</v>
      </c>
      <c r="H11" s="6">
        <v>2.6175933161645373E-2</v>
      </c>
      <c r="I11" s="6"/>
      <c r="J11" s="6"/>
      <c r="K11" s="6">
        <v>1.0447263857294971</v>
      </c>
      <c r="L11" s="89">
        <f t="shared" si="0"/>
        <v>0.91868081355857645</v>
      </c>
      <c r="M11" s="28">
        <v>-0.66537287548571833</v>
      </c>
      <c r="N11" s="28">
        <v>0</v>
      </c>
      <c r="O11" s="28">
        <v>-4.5921691745453108</v>
      </c>
      <c r="P11" s="28">
        <v>-0.13136465956216209</v>
      </c>
      <c r="Q11" s="28">
        <v>0</v>
      </c>
      <c r="R11" s="28">
        <v>0</v>
      </c>
      <c r="S11">
        <f t="shared" si="8"/>
        <v>-4.7235338341074726</v>
      </c>
      <c r="T11">
        <f t="shared" si="1"/>
        <v>7.0990778376099577</v>
      </c>
      <c r="U11">
        <f t="shared" si="14"/>
        <v>-3.9654478992869909E-4</v>
      </c>
      <c r="W11">
        <f t="shared" si="9"/>
        <v>0</v>
      </c>
      <c r="Y11">
        <f t="shared" si="2"/>
        <v>0.97218932600554064</v>
      </c>
      <c r="Z11">
        <f t="shared" si="3"/>
        <v>2.7810673994459464E-2</v>
      </c>
      <c r="AC11">
        <f t="shared" si="10"/>
        <v>0.66537287548571833</v>
      </c>
      <c r="AD11">
        <f t="shared" si="11"/>
        <v>0</v>
      </c>
      <c r="AE11">
        <f t="shared" si="12"/>
        <v>4.5921691745453108</v>
      </c>
      <c r="AF11">
        <f t="shared" si="4"/>
        <v>0.13136465956216209</v>
      </c>
      <c r="AG11">
        <f t="shared" si="5"/>
        <v>0</v>
      </c>
      <c r="AH11">
        <f t="shared" si="6"/>
        <v>0</v>
      </c>
      <c r="AI11">
        <f t="shared" si="7"/>
        <v>4.7235338341074726</v>
      </c>
      <c r="AJ11">
        <f t="shared" si="13"/>
        <v>0</v>
      </c>
    </row>
    <row r="12" spans="1:38" x14ac:dyDescent="0.2">
      <c r="A12">
        <v>-1.1562024391289032</v>
      </c>
      <c r="B12">
        <v>11.87817608695652</v>
      </c>
      <c r="C12">
        <v>-25.542986470694728</v>
      </c>
      <c r="D12">
        <v>-5.2200663509419742</v>
      </c>
      <c r="E12" s="6">
        <v>5.9905982108194429E-2</v>
      </c>
      <c r="F12" s="6"/>
      <c r="G12" s="6">
        <v>0.90003442921463783</v>
      </c>
      <c r="H12" s="6">
        <v>3.5865960238886795E-2</v>
      </c>
      <c r="I12" s="6"/>
      <c r="J12" s="6"/>
      <c r="K12" s="6">
        <v>0.99580637156171903</v>
      </c>
      <c r="L12" s="89">
        <f t="shared" si="0"/>
        <v>0.93590038945352461</v>
      </c>
      <c r="M12" s="28">
        <v>-0.32598940773998536</v>
      </c>
      <c r="N12" s="28">
        <v>0</v>
      </c>
      <c r="O12" s="28">
        <v>-4.7437984981613166</v>
      </c>
      <c r="P12" s="28">
        <v>-0.18259215757352465</v>
      </c>
      <c r="Q12" s="28">
        <v>0</v>
      </c>
      <c r="R12" s="28">
        <v>0</v>
      </c>
      <c r="S12">
        <f t="shared" si="8"/>
        <v>-4.9263906557348411</v>
      </c>
      <c r="T12">
        <f t="shared" si="1"/>
        <v>15.112118795173288</v>
      </c>
      <c r="U12">
        <f t="shared" si="14"/>
        <v>-4.1357479723741735E-4</v>
      </c>
      <c r="W12">
        <f t="shared" si="9"/>
        <v>0</v>
      </c>
      <c r="Y12">
        <f t="shared" si="2"/>
        <v>0.96293591590001737</v>
      </c>
      <c r="Z12">
        <f t="shared" si="3"/>
        <v>3.7064084099982617E-2</v>
      </c>
      <c r="AC12">
        <f t="shared" si="10"/>
        <v>0.32598940773998536</v>
      </c>
      <c r="AD12">
        <f t="shared" si="11"/>
        <v>0</v>
      </c>
      <c r="AE12">
        <f t="shared" si="12"/>
        <v>4.7437984981613166</v>
      </c>
      <c r="AF12">
        <f t="shared" si="4"/>
        <v>0.18259215757352465</v>
      </c>
      <c r="AG12">
        <f t="shared" si="5"/>
        <v>0</v>
      </c>
      <c r="AH12">
        <f t="shared" si="6"/>
        <v>0</v>
      </c>
      <c r="AI12">
        <f t="shared" si="7"/>
        <v>4.9263906557348411</v>
      </c>
      <c r="AJ12">
        <f t="shared" si="13"/>
        <v>0</v>
      </c>
    </row>
    <row r="13" spans="1:38" x14ac:dyDescent="0.2">
      <c r="A13">
        <v>-1.2273882381940175</v>
      </c>
      <c r="B13">
        <v>11.079756956521738</v>
      </c>
      <c r="C13">
        <v>-29.836935457647751</v>
      </c>
      <c r="D13">
        <v>-6.2148914706638028</v>
      </c>
      <c r="E13" s="6">
        <v>0.1589450336090365</v>
      </c>
      <c r="F13" s="6">
        <v>2.1453251486308831E-4</v>
      </c>
      <c r="G13" s="6">
        <v>0.77205531940992267</v>
      </c>
      <c r="H13" s="6">
        <v>5.3261489035522622E-2</v>
      </c>
      <c r="I13" s="6"/>
      <c r="J13" s="6"/>
      <c r="K13" s="6">
        <v>0.98447637456934489</v>
      </c>
      <c r="L13" s="89">
        <f t="shared" si="0"/>
        <v>0.82553134096030845</v>
      </c>
      <c r="M13" s="28">
        <v>-1.05754061608901</v>
      </c>
      <c r="N13" s="28">
        <v>-1.4544129554629674E-3</v>
      </c>
      <c r="O13" s="28">
        <v>-4.7326845749902207</v>
      </c>
      <c r="P13" s="28">
        <v>-0.32587793457213288</v>
      </c>
      <c r="Q13" s="28">
        <v>0</v>
      </c>
      <c r="R13" s="28">
        <v>0</v>
      </c>
      <c r="S13">
        <f t="shared" si="8"/>
        <v>-5.060016922517816</v>
      </c>
      <c r="T13">
        <f t="shared" si="1"/>
        <v>4.7847022095763458</v>
      </c>
      <c r="U13">
        <f t="shared" si="14"/>
        <v>-4.2470126458713664E-4</v>
      </c>
      <c r="V13">
        <f>R13/W13</f>
        <v>0</v>
      </c>
      <c r="W13">
        <f>SUM(N13,Q13,R13)</f>
        <v>-1.4544129554629674E-3</v>
      </c>
      <c r="X13">
        <f>W13/S13</f>
        <v>2.8743242912698905E-4</v>
      </c>
      <c r="Y13">
        <f t="shared" si="2"/>
        <v>0.93557894481760073</v>
      </c>
      <c r="Z13">
        <f t="shared" si="3"/>
        <v>6.4421055182399337E-2</v>
      </c>
      <c r="AA13">
        <f>SUM(Q13:R13)/SUM(N13,Q13,R13)</f>
        <v>0</v>
      </c>
      <c r="AB13">
        <f>N13/SUM(N13,Q13,R13)</f>
        <v>1</v>
      </c>
      <c r="AC13">
        <f t="shared" si="10"/>
        <v>1.05754061608901</v>
      </c>
      <c r="AD13">
        <f t="shared" si="11"/>
        <v>1.4544129554629674E-3</v>
      </c>
      <c r="AE13">
        <f t="shared" si="12"/>
        <v>4.7326845749902207</v>
      </c>
      <c r="AF13">
        <f t="shared" si="4"/>
        <v>0.32587793457213288</v>
      </c>
      <c r="AG13">
        <f t="shared" si="5"/>
        <v>0</v>
      </c>
      <c r="AH13">
        <f t="shared" si="6"/>
        <v>0</v>
      </c>
      <c r="AI13">
        <f t="shared" si="7"/>
        <v>5.060016922517816</v>
      </c>
      <c r="AJ13">
        <f t="shared" si="13"/>
        <v>1.4544129554629674E-3</v>
      </c>
    </row>
    <row r="14" spans="1:38" s="2" customFormat="1" x14ac:dyDescent="0.2">
      <c r="A14">
        <v>-1.2935274605668976</v>
      </c>
      <c r="B14">
        <v>11.006577173913044</v>
      </c>
      <c r="C14">
        <v>-35.361641013482483</v>
      </c>
      <c r="D14">
        <v>-7.8581424474405521</v>
      </c>
      <c r="E14" s="6">
        <v>0.30535349846943066</v>
      </c>
      <c r="F14" s="6">
        <v>4.4004194807600324E-4</v>
      </c>
      <c r="G14" s="6">
        <v>0.58144943551352324</v>
      </c>
      <c r="H14" s="6">
        <v>7.0053870446904559E-2</v>
      </c>
      <c r="I14" s="6"/>
      <c r="J14" s="6">
        <v>1.8036645287030826E-4</v>
      </c>
      <c r="K14" s="6">
        <v>0.95794875407761526</v>
      </c>
      <c r="L14" s="89">
        <f t="shared" si="0"/>
        <v>0.65212371436137417</v>
      </c>
      <c r="M14" s="28">
        <v>-2.5122473441904383</v>
      </c>
      <c r="N14" s="28">
        <v>-2.9904262043529183E-3</v>
      </c>
      <c r="O14" s="28">
        <v>-4.5781284317424742</v>
      </c>
      <c r="P14" s="28">
        <v>-0.53092219155682419</v>
      </c>
      <c r="Q14" s="28">
        <v>0</v>
      </c>
      <c r="R14" s="28">
        <v>-1.1816727004752381E-3</v>
      </c>
      <c r="S14">
        <f t="shared" si="8"/>
        <v>-5.1132227222041271</v>
      </c>
      <c r="T14">
        <f t="shared" si="1"/>
        <v>2.0353181919083063</v>
      </c>
      <c r="U14">
        <f t="shared" si="14"/>
        <v>-4.2900509071958765E-4</v>
      </c>
      <c r="V14">
        <f>R14/W14</f>
        <v>0.28323218778628401</v>
      </c>
      <c r="W14">
        <f>SUM(N14,Q14,R14)</f>
        <v>-4.1720989048281559E-3</v>
      </c>
      <c r="X14">
        <f t="shared" ref="X14:X16" si="15">W14/S14</f>
        <v>8.1594312070758256E-4</v>
      </c>
      <c r="Y14">
        <f t="shared" si="2"/>
        <v>0.89608202566331829</v>
      </c>
      <c r="Z14">
        <f t="shared" si="3"/>
        <v>0.10391797433668171</v>
      </c>
      <c r="AA14">
        <f>SUM(Q14:R14)/SUM(N14,Q14,R14)</f>
        <v>0.28323218778628401</v>
      </c>
      <c r="AB14">
        <f>N14/SUM(N14,Q14,R14)</f>
        <v>0.7167678122137161</v>
      </c>
      <c r="AC14" s="2">
        <f t="shared" si="10"/>
        <v>2.5122473441904383</v>
      </c>
      <c r="AD14" s="2">
        <f t="shared" si="11"/>
        <v>2.9904262043529183E-3</v>
      </c>
      <c r="AE14" s="2">
        <f t="shared" si="12"/>
        <v>4.5781284317424742</v>
      </c>
      <c r="AF14" s="2">
        <f t="shared" si="4"/>
        <v>0.53092219155682419</v>
      </c>
      <c r="AG14" s="2">
        <f t="shared" si="5"/>
        <v>0</v>
      </c>
      <c r="AH14" s="2">
        <f t="shared" si="6"/>
        <v>1.1816727004752381E-3</v>
      </c>
      <c r="AI14" s="2">
        <f t="shared" si="7"/>
        <v>5.1132227222041271</v>
      </c>
      <c r="AJ14">
        <f t="shared" si="13"/>
        <v>4.1720989048281559E-3</v>
      </c>
    </row>
    <row r="15" spans="1:38" x14ac:dyDescent="0.2">
      <c r="A15">
        <v>-1.3505734374665472</v>
      </c>
      <c r="B15">
        <v>10.249838043478261</v>
      </c>
      <c r="C15">
        <v>-49.805181067671491</v>
      </c>
      <c r="D15">
        <v>-8.9981241916139982</v>
      </c>
      <c r="E15" s="6">
        <v>0.55790126929061035</v>
      </c>
      <c r="F15" s="6">
        <v>6.707422340144003E-4</v>
      </c>
      <c r="G15" s="6">
        <v>0.3967531508877129</v>
      </c>
      <c r="H15" s="6">
        <v>6.7741533095617687E-2</v>
      </c>
      <c r="I15" s="6">
        <v>9.6459596598958515E-5</v>
      </c>
      <c r="J15" s="6">
        <v>6.4794772108736751E-4</v>
      </c>
      <c r="K15" s="6">
        <v>1.0177959567300701</v>
      </c>
      <c r="L15" s="89">
        <f t="shared" si="0"/>
        <v>0.4659098335350314</v>
      </c>
      <c r="M15" s="28">
        <v>-5.0363467016973056</v>
      </c>
      <c r="N15" s="28">
        <v>-5.7596987403387753E-3</v>
      </c>
      <c r="O15" s="28">
        <v>-3.5581438674629551</v>
      </c>
      <c r="P15" s="28">
        <v>-0.60224508569619029</v>
      </c>
      <c r="Q15" s="28">
        <v>-8.6369082709487758E-4</v>
      </c>
      <c r="R15" s="28">
        <v>-5.7793170215330592E-3</v>
      </c>
      <c r="S15">
        <f>SUM(N15:R15)</f>
        <v>-4.1727916597481123</v>
      </c>
      <c r="T15">
        <f t="shared" si="1"/>
        <v>0.82853542595505481</v>
      </c>
      <c r="U15">
        <f t="shared" si="14"/>
        <v>-3.4957506381022498E-4</v>
      </c>
      <c r="V15">
        <f>R15/W15</f>
        <v>0.46597224404826809</v>
      </c>
      <c r="W15">
        <f t="shared" si="9"/>
        <v>-1.2402706588966712E-2</v>
      </c>
      <c r="X15">
        <f t="shared" si="15"/>
        <v>2.9722803341960743E-3</v>
      </c>
      <c r="Y15">
        <f t="shared" si="2"/>
        <v>0.85524308124150694</v>
      </c>
      <c r="Z15">
        <f t="shared" si="3"/>
        <v>0.14475691875849303</v>
      </c>
      <c r="AA15">
        <f>SUM(Q15:R15)/SUM(N15,Q15,R15)</f>
        <v>0.53560953014380508</v>
      </c>
      <c r="AB15">
        <f>N15/SUM(N15,Q15,R15)</f>
        <v>0.46439046985619487</v>
      </c>
      <c r="AC15">
        <f t="shared" si="10"/>
        <v>5.0363467016973056</v>
      </c>
      <c r="AD15">
        <f t="shared" si="11"/>
        <v>5.7596987403387753E-3</v>
      </c>
      <c r="AE15">
        <f t="shared" si="12"/>
        <v>3.5581438674629551</v>
      </c>
      <c r="AF15">
        <f t="shared" si="4"/>
        <v>0.60224508569619029</v>
      </c>
      <c r="AG15">
        <f t="shared" si="5"/>
        <v>8.6369082709487758E-4</v>
      </c>
      <c r="AH15">
        <f t="shared" si="6"/>
        <v>5.7793170215330592E-3</v>
      </c>
      <c r="AI15">
        <f>ABS(SUM(N15:R15))</f>
        <v>4.1727916597481123</v>
      </c>
      <c r="AJ15">
        <f t="shared" si="13"/>
        <v>1.2402706588966712E-2</v>
      </c>
    </row>
    <row r="16" spans="1:38" x14ac:dyDescent="0.2">
      <c r="A16">
        <v>-1.4130007575656018</v>
      </c>
      <c r="B16">
        <v>10.267794927536231</v>
      </c>
      <c r="C16">
        <v>-58.101974779874233</v>
      </c>
      <c r="D16">
        <v>-10.71579801517206</v>
      </c>
      <c r="E16" s="6">
        <v>0.70160366831944521</v>
      </c>
      <c r="F16" s="6">
        <v>8.1308187732219862E-4</v>
      </c>
      <c r="G16" s="6">
        <v>0.27890312240266713</v>
      </c>
      <c r="H16" s="6">
        <v>7.0309865483011783E-2</v>
      </c>
      <c r="I16" s="6">
        <v>4.3504113435305646E-4</v>
      </c>
      <c r="J16" s="6">
        <v>1.014127388203579E-3</v>
      </c>
      <c r="K16" s="6">
        <v>1.0494875488405306</v>
      </c>
      <c r="L16" s="89">
        <f t="shared" si="0"/>
        <v>0.35147523828555771</v>
      </c>
      <c r="M16" s="28">
        <v>-7.5467613318715747</v>
      </c>
      <c r="N16" s="28">
        <v>-8.5328481575523713E-3</v>
      </c>
      <c r="O16" s="28">
        <v>-2.9832856024910792</v>
      </c>
      <c r="P16" s="28">
        <v>-0.74029504353501885</v>
      </c>
      <c r="Q16" s="28">
        <v>-4.5205142234140067E-3</v>
      </c>
      <c r="R16" s="28">
        <v>-1.0774133254017848E-2</v>
      </c>
      <c r="S16">
        <f t="shared" si="8"/>
        <v>-3.747408141661082</v>
      </c>
      <c r="T16">
        <f t="shared" si="1"/>
        <v>0.496558454265008</v>
      </c>
      <c r="U16">
        <f t="shared" si="14"/>
        <v>-3.1320493132113282E-4</v>
      </c>
      <c r="V16">
        <f>R16/W16</f>
        <v>0.45217228948723209</v>
      </c>
      <c r="W16">
        <f>SUM(N16,Q16,R16)</f>
        <v>-2.3827495634984229E-2</v>
      </c>
      <c r="X16">
        <f t="shared" si="15"/>
        <v>6.3583935173985124E-3</v>
      </c>
      <c r="Y16">
        <f t="shared" si="2"/>
        <v>0.80118732104672397</v>
      </c>
      <c r="Z16">
        <f t="shared" si="3"/>
        <v>0.19881267895327603</v>
      </c>
      <c r="AA16">
        <f>SUM(Q16:R16)/SUM(N16,Q16,R16)</f>
        <v>0.64189068426376317</v>
      </c>
      <c r="AB16">
        <f>N16/SUM(N16,Q16,R16)</f>
        <v>0.35810931573623678</v>
      </c>
      <c r="AC16">
        <f t="shared" si="10"/>
        <v>7.5467613318715747</v>
      </c>
      <c r="AD16">
        <f t="shared" si="11"/>
        <v>8.5328481575523713E-3</v>
      </c>
      <c r="AE16">
        <f t="shared" si="12"/>
        <v>2.9832856024910792</v>
      </c>
      <c r="AF16">
        <f t="shared" si="4"/>
        <v>0.74029504353501885</v>
      </c>
      <c r="AG16">
        <f t="shared" si="5"/>
        <v>4.5205142234140067E-3</v>
      </c>
      <c r="AH16">
        <f t="shared" si="6"/>
        <v>1.0774133254017848E-2</v>
      </c>
      <c r="AI16">
        <f>SUM(AD16:AH16)</f>
        <v>3.747408141661082</v>
      </c>
      <c r="AJ16">
        <f t="shared" si="13"/>
        <v>2.3827495634984229E-2</v>
      </c>
    </row>
    <row r="18" spans="12:12" s="7" customFormat="1" x14ac:dyDescent="0.2">
      <c r="L18" s="92"/>
    </row>
    <row r="19" spans="12:12" s="7" customFormat="1" x14ac:dyDescent="0.2">
      <c r="L19" s="92"/>
    </row>
    <row r="20" spans="12:12" s="7" customFormat="1" x14ac:dyDescent="0.2">
      <c r="L20" s="92"/>
    </row>
    <row r="21" spans="12:12" s="7" customFormat="1" x14ac:dyDescent="0.2">
      <c r="L21" s="92"/>
    </row>
    <row r="22" spans="12:12" s="7" customFormat="1" x14ac:dyDescent="0.2">
      <c r="L22" s="92"/>
    </row>
    <row r="23" spans="12:12" s="7" customFormat="1" x14ac:dyDescent="0.2">
      <c r="L23" s="92"/>
    </row>
    <row r="24" spans="12:12" s="7" customFormat="1" x14ac:dyDescent="0.2">
      <c r="L24" s="92"/>
    </row>
    <row r="25" spans="12:12" s="7" customFormat="1" x14ac:dyDescent="0.2">
      <c r="L25" s="92"/>
    </row>
    <row r="26" spans="12:12" s="7" customFormat="1" x14ac:dyDescent="0.2">
      <c r="L26" s="92"/>
    </row>
    <row r="27" spans="12:12" s="7" customFormat="1" x14ac:dyDescent="0.2">
      <c r="L27" s="92"/>
    </row>
    <row r="28" spans="12:12" s="7" customFormat="1" x14ac:dyDescent="0.2">
      <c r="L28" s="92"/>
    </row>
    <row r="29" spans="12:12" s="7" customFormat="1" x14ac:dyDescent="0.2">
      <c r="L29" s="92"/>
    </row>
    <row r="30" spans="12:12" s="7" customFormat="1" x14ac:dyDescent="0.2">
      <c r="L30" s="92"/>
    </row>
    <row r="31" spans="12:12" s="7" customFormat="1" x14ac:dyDescent="0.2">
      <c r="L31" s="92"/>
    </row>
    <row r="32" spans="12:12" s="7" customFormat="1" x14ac:dyDescent="0.2">
      <c r="L32" s="92"/>
    </row>
    <row r="33" spans="12:12" s="7" customFormat="1" x14ac:dyDescent="0.2">
      <c r="L33" s="92"/>
    </row>
    <row r="34" spans="12:12" s="7" customFormat="1" x14ac:dyDescent="0.2">
      <c r="L34" s="92"/>
    </row>
    <row r="35" spans="12:12" s="7" customFormat="1" x14ac:dyDescent="0.2">
      <c r="L35" s="92"/>
    </row>
    <row r="36" spans="12:12" s="7" customFormat="1" x14ac:dyDescent="0.2">
      <c r="L36" s="92"/>
    </row>
    <row r="37" spans="12:12" s="7" customFormat="1" x14ac:dyDescent="0.2">
      <c r="L37" s="92"/>
    </row>
    <row r="38" spans="12:12" s="7" customFormat="1" x14ac:dyDescent="0.2">
      <c r="L38" s="92"/>
    </row>
    <row r="39" spans="12:12" s="7" customFormat="1" x14ac:dyDescent="0.2">
      <c r="L39" s="92"/>
    </row>
    <row r="40" spans="12:12" s="7" customFormat="1" x14ac:dyDescent="0.2">
      <c r="L40" s="92"/>
    </row>
    <row r="41" spans="12:12" s="7" customFormat="1" x14ac:dyDescent="0.2">
      <c r="L41" s="92"/>
    </row>
    <row r="42" spans="12:12" s="7" customFormat="1" x14ac:dyDescent="0.2">
      <c r="L42" s="92"/>
    </row>
    <row r="43" spans="12:12" s="7" customFormat="1" x14ac:dyDescent="0.2">
      <c r="L43" s="92"/>
    </row>
    <row r="44" spans="12:12" s="7" customFormat="1" x14ac:dyDescent="0.2">
      <c r="L44" s="92"/>
    </row>
    <row r="45" spans="12:12" s="7" customFormat="1" x14ac:dyDescent="0.2">
      <c r="L45" s="92"/>
    </row>
    <row r="46" spans="12:12" s="7" customFormat="1" x14ac:dyDescent="0.2">
      <c r="L46" s="92"/>
    </row>
    <row r="47" spans="12:12" s="7" customFormat="1" x14ac:dyDescent="0.2">
      <c r="L47" s="92"/>
    </row>
    <row r="48" spans="12:12" s="7" customFormat="1" x14ac:dyDescent="0.2">
      <c r="L48" s="92"/>
    </row>
    <row r="49" spans="12:12" s="7" customFormat="1" x14ac:dyDescent="0.2">
      <c r="L49" s="92"/>
    </row>
    <row r="50" spans="12:12" s="7" customFormat="1" x14ac:dyDescent="0.2">
      <c r="L50" s="92"/>
    </row>
    <row r="51" spans="12:12" s="7" customFormat="1" x14ac:dyDescent="0.2">
      <c r="L51" s="92"/>
    </row>
    <row r="52" spans="12:12" s="7" customFormat="1" x14ac:dyDescent="0.2">
      <c r="L52" s="92"/>
    </row>
    <row r="53" spans="12:12" s="7" customFormat="1" x14ac:dyDescent="0.2">
      <c r="L53" s="92"/>
    </row>
    <row r="54" spans="12:12" s="7" customFormat="1" x14ac:dyDescent="0.2">
      <c r="L54" s="92"/>
    </row>
    <row r="55" spans="12:12" s="7" customFormat="1" x14ac:dyDescent="0.2">
      <c r="L55" s="92"/>
    </row>
    <row r="56" spans="12:12" s="7" customFormat="1" x14ac:dyDescent="0.2">
      <c r="L56" s="92"/>
    </row>
    <row r="57" spans="12:12" s="7" customFormat="1" x14ac:dyDescent="0.2">
      <c r="L57" s="92"/>
    </row>
    <row r="58" spans="12:12" s="7" customFormat="1" x14ac:dyDescent="0.2">
      <c r="L58" s="92"/>
    </row>
    <row r="59" spans="12:12" s="7" customFormat="1" x14ac:dyDescent="0.2">
      <c r="L59" s="92"/>
    </row>
    <row r="60" spans="12:12" s="7" customFormat="1" x14ac:dyDescent="0.2">
      <c r="L60" s="92"/>
    </row>
    <row r="61" spans="12:12" s="7" customFormat="1" x14ac:dyDescent="0.2">
      <c r="L61" s="92"/>
    </row>
    <row r="62" spans="12:12" s="7" customFormat="1" x14ac:dyDescent="0.2">
      <c r="L62" s="92"/>
    </row>
    <row r="63" spans="12:12" s="7" customFormat="1" x14ac:dyDescent="0.2">
      <c r="L63" s="92"/>
    </row>
    <row r="64" spans="12:12" s="7" customFormat="1" x14ac:dyDescent="0.2">
      <c r="L64" s="92"/>
    </row>
    <row r="65" spans="12:12" s="7" customFormat="1" x14ac:dyDescent="0.2">
      <c r="L65" s="92"/>
    </row>
    <row r="66" spans="12:12" s="7" customFormat="1" x14ac:dyDescent="0.2">
      <c r="L66" s="92"/>
    </row>
    <row r="67" spans="12:12" s="7" customFormat="1" x14ac:dyDescent="0.2">
      <c r="L67" s="92"/>
    </row>
    <row r="68" spans="12:12" s="7" customFormat="1" x14ac:dyDescent="0.2">
      <c r="L68" s="92"/>
    </row>
    <row r="69" spans="12:12" s="7" customFormat="1" x14ac:dyDescent="0.2">
      <c r="L69" s="92"/>
    </row>
    <row r="70" spans="12:12" s="7" customFormat="1" x14ac:dyDescent="0.2">
      <c r="L70" s="92"/>
    </row>
    <row r="71" spans="12:12" s="7" customFormat="1" x14ac:dyDescent="0.2">
      <c r="L71" s="92"/>
    </row>
    <row r="72" spans="12:12" s="7" customFormat="1" x14ac:dyDescent="0.2">
      <c r="L72" s="92"/>
    </row>
    <row r="73" spans="12:12" s="7" customFormat="1" x14ac:dyDescent="0.2">
      <c r="L73" s="92"/>
    </row>
    <row r="74" spans="12:12" s="7" customFormat="1" x14ac:dyDescent="0.2">
      <c r="L74" s="92"/>
    </row>
    <row r="75" spans="12:12" s="7" customFormat="1" x14ac:dyDescent="0.2">
      <c r="L75" s="92"/>
    </row>
    <row r="76" spans="12:12" s="7" customFormat="1" x14ac:dyDescent="0.2">
      <c r="L76" s="92"/>
    </row>
    <row r="77" spans="12:12" s="7" customFormat="1" x14ac:dyDescent="0.2">
      <c r="L77" s="92"/>
    </row>
    <row r="78" spans="12:12" s="7" customFormat="1" x14ac:dyDescent="0.2">
      <c r="L78" s="92"/>
    </row>
    <row r="79" spans="12:12" s="7" customFormat="1" x14ac:dyDescent="0.2">
      <c r="L79" s="92"/>
    </row>
    <row r="80" spans="12:12" s="7" customFormat="1" x14ac:dyDescent="0.2">
      <c r="L80" s="92"/>
    </row>
    <row r="81" spans="12:12" s="7" customFormat="1" x14ac:dyDescent="0.2">
      <c r="L81" s="92"/>
    </row>
    <row r="82" spans="12:12" s="7" customFormat="1" x14ac:dyDescent="0.2">
      <c r="L82" s="92"/>
    </row>
    <row r="83" spans="12:12" s="7" customFormat="1" x14ac:dyDescent="0.2">
      <c r="L83" s="92"/>
    </row>
    <row r="84" spans="12:12" s="7" customFormat="1" x14ac:dyDescent="0.2">
      <c r="L84" s="92"/>
    </row>
    <row r="85" spans="12:12" s="7" customFormat="1" x14ac:dyDescent="0.2">
      <c r="L85" s="92"/>
    </row>
    <row r="86" spans="12:12" s="7" customFormat="1" x14ac:dyDescent="0.2">
      <c r="L86" s="92"/>
    </row>
    <row r="87" spans="12:12" s="7" customFormat="1" x14ac:dyDescent="0.2">
      <c r="L87" s="92"/>
    </row>
    <row r="88" spans="12:12" s="7" customFormat="1" x14ac:dyDescent="0.2">
      <c r="L88" s="92"/>
    </row>
    <row r="89" spans="12:12" s="7" customFormat="1" x14ac:dyDescent="0.2">
      <c r="L89" s="92"/>
    </row>
    <row r="90" spans="12:12" s="7" customFormat="1" x14ac:dyDescent="0.2">
      <c r="L90" s="92"/>
    </row>
    <row r="91" spans="12:12" s="7" customFormat="1" x14ac:dyDescent="0.2">
      <c r="L91" s="92"/>
    </row>
    <row r="92" spans="12:12" s="7" customFormat="1" x14ac:dyDescent="0.2">
      <c r="L92" s="92"/>
    </row>
    <row r="93" spans="12:12" s="7" customFormat="1" x14ac:dyDescent="0.2">
      <c r="L93" s="92"/>
    </row>
    <row r="94" spans="12:12" s="7" customFormat="1" x14ac:dyDescent="0.2">
      <c r="L94" s="92"/>
    </row>
    <row r="95" spans="12:12" s="7" customFormat="1" x14ac:dyDescent="0.2">
      <c r="L95" s="92"/>
    </row>
    <row r="96" spans="12:12" s="7" customFormat="1" x14ac:dyDescent="0.2">
      <c r="L96" s="92"/>
    </row>
    <row r="97" spans="12:12" s="7" customFormat="1" x14ac:dyDescent="0.2">
      <c r="L97" s="92"/>
    </row>
    <row r="98" spans="12:12" s="7" customFormat="1" x14ac:dyDescent="0.2">
      <c r="L98" s="92"/>
    </row>
    <row r="99" spans="12:12" s="7" customFormat="1" x14ac:dyDescent="0.2">
      <c r="L99" s="92"/>
    </row>
    <row r="100" spans="12:12" s="7" customFormat="1" x14ac:dyDescent="0.2">
      <c r="L100" s="92"/>
    </row>
    <row r="101" spans="12:12" s="7" customFormat="1" x14ac:dyDescent="0.2">
      <c r="L101" s="92"/>
    </row>
    <row r="102" spans="12:12" s="7" customFormat="1" x14ac:dyDescent="0.2">
      <c r="L102" s="92"/>
    </row>
    <row r="103" spans="12:12" s="7" customFormat="1" x14ac:dyDescent="0.2">
      <c r="L103" s="92"/>
    </row>
    <row r="104" spans="12:12" s="7" customFormat="1" x14ac:dyDescent="0.2">
      <c r="L104" s="92"/>
    </row>
    <row r="105" spans="12:12" s="7" customFormat="1" x14ac:dyDescent="0.2">
      <c r="L105" s="92"/>
    </row>
    <row r="106" spans="12:12" s="7" customFormat="1" x14ac:dyDescent="0.2">
      <c r="L106" s="92"/>
    </row>
    <row r="107" spans="12:12" s="7" customFormat="1" x14ac:dyDescent="0.2">
      <c r="L107" s="92"/>
    </row>
    <row r="108" spans="12:12" s="7" customFormat="1" x14ac:dyDescent="0.2">
      <c r="L108" s="92"/>
    </row>
    <row r="109" spans="12:12" s="7" customFormat="1" x14ac:dyDescent="0.2">
      <c r="L109" s="92"/>
    </row>
    <row r="110" spans="12:12" s="7" customFormat="1" x14ac:dyDescent="0.2">
      <c r="L110" s="92"/>
    </row>
    <row r="111" spans="12:12" s="7" customFormat="1" x14ac:dyDescent="0.2">
      <c r="L111" s="92"/>
    </row>
    <row r="112" spans="12:12" s="7" customFormat="1" x14ac:dyDescent="0.2">
      <c r="L112" s="92"/>
    </row>
    <row r="113" spans="12:12" s="7" customFormat="1" x14ac:dyDescent="0.2">
      <c r="L113" s="92"/>
    </row>
    <row r="114" spans="12:12" s="7" customFormat="1" x14ac:dyDescent="0.2">
      <c r="L114" s="92"/>
    </row>
    <row r="115" spans="12:12" s="7" customFormat="1" x14ac:dyDescent="0.2">
      <c r="L115" s="92"/>
    </row>
    <row r="116" spans="12:12" s="7" customFormat="1" x14ac:dyDescent="0.2">
      <c r="L116" s="92"/>
    </row>
    <row r="117" spans="12:12" s="7" customFormat="1" x14ac:dyDescent="0.2">
      <c r="L117" s="92"/>
    </row>
    <row r="118" spans="12:12" s="7" customFormat="1" x14ac:dyDescent="0.2">
      <c r="L118" s="92"/>
    </row>
    <row r="119" spans="12:12" s="7" customFormat="1" x14ac:dyDescent="0.2">
      <c r="L119" s="92"/>
    </row>
    <row r="120" spans="12:12" s="7" customFormat="1" x14ac:dyDescent="0.2">
      <c r="L120" s="92"/>
    </row>
    <row r="121" spans="12:12" s="7" customFormat="1" x14ac:dyDescent="0.2">
      <c r="L121" s="92"/>
    </row>
    <row r="122" spans="12:12" s="7" customFormat="1" x14ac:dyDescent="0.2">
      <c r="L122" s="92"/>
    </row>
    <row r="123" spans="12:12" s="7" customFormat="1" x14ac:dyDescent="0.2">
      <c r="L123" s="92"/>
    </row>
    <row r="124" spans="12:12" s="7" customFormat="1" x14ac:dyDescent="0.2">
      <c r="L124" s="92"/>
    </row>
    <row r="125" spans="12:12" s="7" customFormat="1" x14ac:dyDescent="0.2">
      <c r="L125" s="92"/>
    </row>
    <row r="126" spans="12:12" s="7" customFormat="1" x14ac:dyDescent="0.2">
      <c r="L126" s="92"/>
    </row>
    <row r="127" spans="12:12" s="7" customFormat="1" x14ac:dyDescent="0.2">
      <c r="L127" s="92"/>
    </row>
    <row r="128" spans="12:12" s="7" customFormat="1" x14ac:dyDescent="0.2">
      <c r="L128" s="92"/>
    </row>
    <row r="129" spans="12:12" s="7" customFormat="1" x14ac:dyDescent="0.2">
      <c r="L129" s="92"/>
    </row>
    <row r="130" spans="12:12" s="7" customFormat="1" x14ac:dyDescent="0.2">
      <c r="L130" s="92"/>
    </row>
    <row r="131" spans="12:12" s="7" customFormat="1" x14ac:dyDescent="0.2">
      <c r="L131" s="92"/>
    </row>
  </sheetData>
  <mergeCells count="3">
    <mergeCell ref="E1:K1"/>
    <mergeCell ref="M1:T1"/>
    <mergeCell ref="AE1:AL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U24"/>
  <sheetViews>
    <sheetView workbookViewId="0">
      <selection activeCell="G19" sqref="G19"/>
    </sheetView>
  </sheetViews>
  <sheetFormatPr baseColWidth="10" defaultColWidth="8.83203125" defaultRowHeight="15" x14ac:dyDescent="0.2"/>
  <cols>
    <col min="15" max="15" width="12.6640625" bestFit="1" customWidth="1"/>
  </cols>
  <sheetData>
    <row r="1" spans="1:21" x14ac:dyDescent="0.2">
      <c r="I1" t="s">
        <v>7</v>
      </c>
      <c r="J1" t="s">
        <v>7</v>
      </c>
      <c r="K1" t="s">
        <v>7</v>
      </c>
      <c r="L1" t="s">
        <v>7</v>
      </c>
      <c r="M1" t="s">
        <v>7</v>
      </c>
      <c r="N1" t="s">
        <v>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</row>
    <row r="2" spans="1:21" x14ac:dyDescent="0.2">
      <c r="A2" t="s">
        <v>34</v>
      </c>
      <c r="B2" t="s">
        <v>7</v>
      </c>
      <c r="C2" t="s">
        <v>44</v>
      </c>
      <c r="D2" t="s">
        <v>5</v>
      </c>
      <c r="E2" t="s">
        <v>45</v>
      </c>
      <c r="F2" t="s">
        <v>46</v>
      </c>
      <c r="G2" t="s">
        <v>41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P2" t="s">
        <v>9</v>
      </c>
      <c r="R2" t="s">
        <v>9</v>
      </c>
      <c r="S2" t="s">
        <v>9</v>
      </c>
      <c r="T2" t="s">
        <v>9</v>
      </c>
      <c r="U2" t="s">
        <v>9</v>
      </c>
    </row>
    <row r="3" spans="1:21" x14ac:dyDescent="0.2">
      <c r="A3" t="s">
        <v>47</v>
      </c>
      <c r="B3" t="s">
        <v>2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73</v>
      </c>
      <c r="I3" t="s">
        <v>75</v>
      </c>
      <c r="J3" t="s">
        <v>76</v>
      </c>
      <c r="K3" t="s">
        <v>77</v>
      </c>
      <c r="L3" t="s">
        <v>78</v>
      </c>
      <c r="M3" t="s">
        <v>79</v>
      </c>
      <c r="N3" t="s">
        <v>80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</row>
    <row r="4" spans="1:21" x14ac:dyDescent="0.2">
      <c r="A4">
        <v>-0.74914000000000003</v>
      </c>
      <c r="B4">
        <f>SUM(I4:M4)</f>
        <v>-0.18834999999999999</v>
      </c>
      <c r="C4" s="84">
        <v>0.57670999999999994</v>
      </c>
      <c r="D4" s="84">
        <v>0.11255999999999999</v>
      </c>
      <c r="E4" s="84">
        <v>5.323E-2</v>
      </c>
      <c r="F4" s="84" t="s">
        <v>43</v>
      </c>
      <c r="G4" s="84" t="s">
        <v>43</v>
      </c>
      <c r="H4" s="84">
        <f>SUM(D4:G4)</f>
        <v>0.16578999999999999</v>
      </c>
      <c r="I4">
        <v>-0.15503</v>
      </c>
      <c r="J4">
        <v>-1.9230000000000001E-2</v>
      </c>
      <c r="K4">
        <v>-1.409E-2</v>
      </c>
      <c r="L4">
        <v>0</v>
      </c>
      <c r="M4">
        <v>0</v>
      </c>
      <c r="N4">
        <f>SUM(J4:M4)</f>
        <v>-3.3320000000000002E-2</v>
      </c>
      <c r="O4">
        <f>(J4/1000*4.5*36000/(2*96485)+K4/1000*4.5*36000/(2*96485)+L4/1000*4.5*36000/(8*96485)+M4/1000*4.5*36000/(6*96485))/10</f>
        <v>-2.7972430947815725E-6</v>
      </c>
      <c r="Q4">
        <f>N4/I4</f>
        <v>0.214926143327098</v>
      </c>
      <c r="R4">
        <f>J4/SUM(J4,K4)</f>
        <v>0.57713085234093631</v>
      </c>
      <c r="S4">
        <f>K4/SUM(J4:K4)</f>
        <v>0.42286914765906358</v>
      </c>
    </row>
    <row r="5" spans="1:21" x14ac:dyDescent="0.2">
      <c r="A5">
        <v>-0.89629000000000003</v>
      </c>
      <c r="B5">
        <f t="shared" ref="B5:B10" si="0">SUM(I5:M5)</f>
        <v>-0.48479000000000005</v>
      </c>
      <c r="C5" s="84">
        <v>0.46431</v>
      </c>
      <c r="D5" s="84">
        <v>0.22525999999999999</v>
      </c>
      <c r="E5" s="84">
        <v>5.8409999999999997E-2</v>
      </c>
      <c r="F5" s="84" t="s">
        <v>43</v>
      </c>
      <c r="G5" s="84" t="s">
        <v>43</v>
      </c>
      <c r="H5" s="84">
        <f t="shared" ref="H5:H10" si="1">SUM(D5:G5)</f>
        <v>0.28366999999999998</v>
      </c>
      <c r="I5">
        <v>-0.33789000000000002</v>
      </c>
      <c r="J5">
        <v>-0.11404</v>
      </c>
      <c r="K5">
        <v>-3.286E-2</v>
      </c>
      <c r="L5">
        <v>0</v>
      </c>
      <c r="M5">
        <v>0</v>
      </c>
      <c r="N5">
        <f t="shared" ref="N5:N10" si="2">SUM(J5:M5)</f>
        <v>-0.1469</v>
      </c>
      <c r="O5">
        <f t="shared" ref="O5:O10" si="3">(J5/1000*4.5*36000/(2*96485)+K5/1000*4.5*36000/(2*96485)+L5/1000*4.5*36000/(8*96485)+M5/1000*4.5*36000/(6*96485))/10</f>
        <v>-1.2332383272011195E-5</v>
      </c>
      <c r="Q5">
        <f t="shared" ref="Q5:Q10" si="4">N5/I5</f>
        <v>0.43475687353872561</v>
      </c>
      <c r="R5">
        <f t="shared" ref="R5:R10" si="5">J5/SUM(J5,K5)</f>
        <v>0.77631041524846833</v>
      </c>
      <c r="S5">
        <f t="shared" ref="S5:S10" si="6">K5/SUM(J5:K5)</f>
        <v>0.22368958475153164</v>
      </c>
    </row>
    <row r="6" spans="1:21" x14ac:dyDescent="0.2">
      <c r="A6">
        <v>-1.04098</v>
      </c>
      <c r="B6">
        <f t="shared" si="0"/>
        <v>-1.0601497969999998</v>
      </c>
      <c r="C6" s="84">
        <v>0.18523999999999999</v>
      </c>
      <c r="D6" s="84">
        <v>0.58884999999999998</v>
      </c>
      <c r="E6" s="84">
        <v>9.1810000000000003E-2</v>
      </c>
      <c r="F6" s="84">
        <v>8.2886999999999994E-5</v>
      </c>
      <c r="G6" s="84" t="s">
        <v>43</v>
      </c>
      <c r="H6" s="84">
        <f t="shared" si="1"/>
        <v>0.68074288700000007</v>
      </c>
      <c r="I6">
        <v>-0.23457</v>
      </c>
      <c r="J6">
        <v>-0.71445000000000003</v>
      </c>
      <c r="K6">
        <v>-0.11101999999999999</v>
      </c>
      <c r="L6" s="1">
        <v>-1.0979700000000001E-4</v>
      </c>
      <c r="M6">
        <v>0</v>
      </c>
      <c r="N6">
        <f t="shared" si="2"/>
        <v>-0.82557979700000006</v>
      </c>
      <c r="O6">
        <f t="shared" si="3"/>
        <v>-6.9301231682904082E-5</v>
      </c>
      <c r="P6">
        <f t="shared" ref="P6:P10" si="7">SUM(L6,M6)/N6</f>
        <v>1.3299380677553085E-4</v>
      </c>
      <c r="Q6">
        <f t="shared" si="4"/>
        <v>3.5195455386451808</v>
      </c>
      <c r="R6">
        <f t="shared" si="5"/>
        <v>0.86550692332852797</v>
      </c>
      <c r="S6">
        <f t="shared" si="6"/>
        <v>0.13449307667147201</v>
      </c>
      <c r="T6">
        <f t="shared" ref="T6:T10" si="8">M6/SUM(L6,M6)</f>
        <v>0</v>
      </c>
      <c r="U6">
        <f t="shared" ref="U6:U10" si="9">L6/SUM(L6:M6)</f>
        <v>1</v>
      </c>
    </row>
    <row r="7" spans="1:21" x14ac:dyDescent="0.2">
      <c r="A7">
        <v>-1.1761900000000001</v>
      </c>
      <c r="B7">
        <f>SUM(I7:M7)</f>
        <v>-2.5857899999999998</v>
      </c>
      <c r="C7" s="84">
        <v>0.14233999999999999</v>
      </c>
      <c r="D7" s="84">
        <v>0.64005999999999996</v>
      </c>
      <c r="E7" s="84">
        <v>0.15110000000000001</v>
      </c>
      <c r="F7" s="84">
        <v>6.0320100000000004E-4</v>
      </c>
      <c r="G7" s="84" t="s">
        <v>43</v>
      </c>
      <c r="H7" s="84">
        <f t="shared" si="1"/>
        <v>0.79176320099999997</v>
      </c>
      <c r="I7">
        <v>-0.41799999999999998</v>
      </c>
      <c r="J7">
        <v>-1.74821</v>
      </c>
      <c r="K7">
        <v>-0.41794999999999999</v>
      </c>
      <c r="L7">
        <v>-1.6299999999999999E-3</v>
      </c>
      <c r="M7">
        <v>0</v>
      </c>
      <c r="N7">
        <f t="shared" si="2"/>
        <v>-2.1677900000000001</v>
      </c>
      <c r="O7">
        <f t="shared" si="3"/>
        <v>-1.818852334559776E-4</v>
      </c>
      <c r="P7">
        <f t="shared" si="7"/>
        <v>7.5191785182144016E-4</v>
      </c>
      <c r="Q7">
        <f t="shared" si="4"/>
        <v>5.1861004784688998</v>
      </c>
      <c r="R7">
        <f t="shared" si="5"/>
        <v>0.80705488052590757</v>
      </c>
      <c r="S7">
        <f t="shared" si="6"/>
        <v>0.1929451194740924</v>
      </c>
      <c r="T7">
        <f t="shared" si="8"/>
        <v>0</v>
      </c>
      <c r="U7">
        <f t="shared" si="9"/>
        <v>1</v>
      </c>
    </row>
    <row r="8" spans="1:21" x14ac:dyDescent="0.2">
      <c r="A8">
        <v>-1.31267</v>
      </c>
      <c r="B8">
        <f t="shared" si="0"/>
        <v>-4.68581</v>
      </c>
      <c r="C8" s="84">
        <v>0.24298</v>
      </c>
      <c r="D8" s="84">
        <v>0.68132000000000004</v>
      </c>
      <c r="E8" s="84">
        <v>0.14279</v>
      </c>
      <c r="F8" s="84">
        <v>2.5000000000000001E-3</v>
      </c>
      <c r="G8" s="84">
        <v>3.6670700000000002E-4</v>
      </c>
      <c r="H8" s="84">
        <f t="shared" si="1"/>
        <v>0.82697670699999992</v>
      </c>
      <c r="I8">
        <v>-1.1196699999999999</v>
      </c>
      <c r="J8">
        <v>-2.9390299999999998</v>
      </c>
      <c r="K8">
        <v>-0.61428000000000005</v>
      </c>
      <c r="L8">
        <v>-1.124E-2</v>
      </c>
      <c r="M8">
        <v>-1.5900000000000001E-3</v>
      </c>
      <c r="N8">
        <f t="shared" si="2"/>
        <v>-3.5661399999999999</v>
      </c>
      <c r="O8">
        <f t="shared" si="3"/>
        <v>-2.9858387314090273E-4</v>
      </c>
      <c r="P8">
        <f t="shared" si="7"/>
        <v>3.5977275149040701E-3</v>
      </c>
      <c r="Q8">
        <f t="shared" si="4"/>
        <v>3.1849920065733652</v>
      </c>
      <c r="R8">
        <f t="shared" si="5"/>
        <v>0.82712456836020498</v>
      </c>
      <c r="S8">
        <f t="shared" si="6"/>
        <v>0.17287543163979505</v>
      </c>
      <c r="T8">
        <f t="shared" si="8"/>
        <v>0.12392829306313329</v>
      </c>
      <c r="U8">
        <f t="shared" si="9"/>
        <v>0.87607170693686676</v>
      </c>
    </row>
    <row r="9" spans="1:21" x14ac:dyDescent="0.2">
      <c r="A9">
        <v>-1.4414</v>
      </c>
      <c r="B9">
        <f t="shared" si="0"/>
        <v>-5.3281999999999998</v>
      </c>
      <c r="C9" s="84">
        <v>0.28355999999999998</v>
      </c>
      <c r="D9" s="84">
        <v>0.44236999999999999</v>
      </c>
      <c r="E9" s="84">
        <v>0.1182</v>
      </c>
      <c r="F9" s="84">
        <v>1.3500000000000001E-3</v>
      </c>
      <c r="G9" s="84">
        <v>2.99E-3</v>
      </c>
      <c r="H9" s="84">
        <f t="shared" si="1"/>
        <v>0.56491000000000002</v>
      </c>
      <c r="I9">
        <v>-1.7455099999999999</v>
      </c>
      <c r="J9">
        <v>-2.74268</v>
      </c>
      <c r="K9">
        <v>-0.80867</v>
      </c>
      <c r="L9">
        <v>-9.6600000000000002E-3</v>
      </c>
      <c r="M9">
        <v>-2.1680000000000001E-2</v>
      </c>
      <c r="N9">
        <f t="shared" si="2"/>
        <v>-3.5826899999999999</v>
      </c>
      <c r="O9">
        <f t="shared" si="3"/>
        <v>-2.9894835984868118E-4</v>
      </c>
      <c r="P9">
        <f t="shared" si="7"/>
        <v>8.7476170140313569E-3</v>
      </c>
      <c r="Q9">
        <f t="shared" si="4"/>
        <v>2.0525176023053433</v>
      </c>
      <c r="R9">
        <f t="shared" si="5"/>
        <v>0.77229222689962962</v>
      </c>
      <c r="S9">
        <f t="shared" si="6"/>
        <v>0.22770777310037027</v>
      </c>
      <c r="T9">
        <f t="shared" si="8"/>
        <v>0.6917677089980856</v>
      </c>
      <c r="U9">
        <f t="shared" si="9"/>
        <v>0.30823229100191452</v>
      </c>
    </row>
    <row r="10" spans="1:21" x14ac:dyDescent="0.2">
      <c r="A10">
        <v>-1.5573399999999999</v>
      </c>
      <c r="B10">
        <f t="shared" si="0"/>
        <v>-10.085050000000001</v>
      </c>
      <c r="C10" s="84">
        <v>0.62390999999999996</v>
      </c>
      <c r="D10" s="84">
        <v>0.21204000000000001</v>
      </c>
      <c r="E10" s="84">
        <v>5.0970000000000001E-2</v>
      </c>
      <c r="F10" s="84">
        <v>1.1000000000000001E-3</v>
      </c>
      <c r="G10" s="84">
        <v>1.059E-2</v>
      </c>
      <c r="H10" s="84">
        <f t="shared" si="1"/>
        <v>0.2747</v>
      </c>
      <c r="I10">
        <v>-7.0544000000000002</v>
      </c>
      <c r="J10">
        <f>-2.334</f>
        <v>-2.3340000000000001</v>
      </c>
      <c r="K10">
        <f>-0.56708</f>
        <v>-0.56708000000000003</v>
      </c>
      <c r="L10">
        <f>-0.01227</f>
        <v>-1.227E-2</v>
      </c>
      <c r="M10">
        <f>-0.1173</f>
        <v>-0.1173</v>
      </c>
      <c r="N10">
        <f t="shared" si="2"/>
        <v>-3.0306500000000005</v>
      </c>
      <c r="O10">
        <f t="shared" si="3"/>
        <v>-2.4708819764730268E-4</v>
      </c>
      <c r="P10">
        <f t="shared" si="7"/>
        <v>4.2753204758055191E-2</v>
      </c>
      <c r="Q10">
        <f t="shared" si="4"/>
        <v>0.42961130641868911</v>
      </c>
      <c r="R10">
        <f t="shared" si="5"/>
        <v>0.80452796889434275</v>
      </c>
      <c r="S10">
        <f t="shared" si="6"/>
        <v>0.1954720311056572</v>
      </c>
      <c r="T10">
        <f t="shared" si="8"/>
        <v>0.90530215327622143</v>
      </c>
      <c r="U10">
        <f t="shared" si="9"/>
        <v>9.469784672377865E-2</v>
      </c>
    </row>
    <row r="12" spans="1:21" x14ac:dyDescent="0.2">
      <c r="I12">
        <f>ABS(I4)</f>
        <v>0.15503</v>
      </c>
      <c r="J12">
        <f t="shared" ref="J12:N12" si="10">ABS(J4)</f>
        <v>1.9230000000000001E-2</v>
      </c>
      <c r="K12">
        <f t="shared" si="10"/>
        <v>1.409E-2</v>
      </c>
      <c r="N12">
        <f t="shared" si="10"/>
        <v>3.3320000000000002E-2</v>
      </c>
    </row>
    <row r="13" spans="1:21" x14ac:dyDescent="0.2">
      <c r="I13">
        <f t="shared" ref="I13:N18" si="11">ABS(I5)</f>
        <v>0.33789000000000002</v>
      </c>
      <c r="J13">
        <f t="shared" si="11"/>
        <v>0.11404</v>
      </c>
      <c r="K13">
        <f t="shared" si="11"/>
        <v>3.286E-2</v>
      </c>
      <c r="N13">
        <f t="shared" si="11"/>
        <v>0.1469</v>
      </c>
    </row>
    <row r="14" spans="1:21" x14ac:dyDescent="0.2">
      <c r="I14">
        <f t="shared" si="11"/>
        <v>0.23457</v>
      </c>
      <c r="J14">
        <f t="shared" si="11"/>
        <v>0.71445000000000003</v>
      </c>
      <c r="K14">
        <f t="shared" si="11"/>
        <v>0.11101999999999999</v>
      </c>
      <c r="L14">
        <f t="shared" si="11"/>
        <v>1.0979700000000001E-4</v>
      </c>
      <c r="N14">
        <f t="shared" si="11"/>
        <v>0.82557979700000006</v>
      </c>
    </row>
    <row r="15" spans="1:21" x14ac:dyDescent="0.2">
      <c r="I15">
        <f t="shared" si="11"/>
        <v>0.41799999999999998</v>
      </c>
      <c r="J15">
        <f t="shared" si="11"/>
        <v>1.74821</v>
      </c>
      <c r="K15">
        <f t="shared" si="11"/>
        <v>0.41794999999999999</v>
      </c>
      <c r="L15">
        <f t="shared" si="11"/>
        <v>1.6299999999999999E-3</v>
      </c>
      <c r="N15">
        <f t="shared" si="11"/>
        <v>2.1677900000000001</v>
      </c>
    </row>
    <row r="16" spans="1:21" x14ac:dyDescent="0.2">
      <c r="I16">
        <f t="shared" si="11"/>
        <v>1.1196699999999999</v>
      </c>
      <c r="J16">
        <f t="shared" si="11"/>
        <v>2.9390299999999998</v>
      </c>
      <c r="K16">
        <f t="shared" si="11"/>
        <v>0.61428000000000005</v>
      </c>
      <c r="L16">
        <f t="shared" si="11"/>
        <v>1.124E-2</v>
      </c>
      <c r="M16">
        <f t="shared" si="11"/>
        <v>1.5900000000000001E-3</v>
      </c>
      <c r="N16">
        <f t="shared" si="11"/>
        <v>3.5661399999999999</v>
      </c>
    </row>
    <row r="17" spans="9:14" x14ac:dyDescent="0.2">
      <c r="I17">
        <f t="shared" si="11"/>
        <v>1.7455099999999999</v>
      </c>
      <c r="J17">
        <f t="shared" si="11"/>
        <v>2.74268</v>
      </c>
      <c r="K17">
        <f t="shared" si="11"/>
        <v>0.80867</v>
      </c>
      <c r="L17">
        <f t="shared" si="11"/>
        <v>9.6600000000000002E-3</v>
      </c>
      <c r="M17">
        <f t="shared" si="11"/>
        <v>2.1680000000000001E-2</v>
      </c>
      <c r="N17">
        <f t="shared" si="11"/>
        <v>3.5826899999999999</v>
      </c>
    </row>
    <row r="18" spans="9:14" x14ac:dyDescent="0.2">
      <c r="I18">
        <f t="shared" si="11"/>
        <v>7.0544000000000002</v>
      </c>
      <c r="J18">
        <f t="shared" si="11"/>
        <v>2.3340000000000001</v>
      </c>
      <c r="K18">
        <f t="shared" si="11"/>
        <v>0.56708000000000003</v>
      </c>
      <c r="L18">
        <f t="shared" si="11"/>
        <v>1.227E-2</v>
      </c>
      <c r="M18">
        <f t="shared" si="11"/>
        <v>0.1173</v>
      </c>
      <c r="N18">
        <f t="shared" si="11"/>
        <v>3.0306500000000005</v>
      </c>
    </row>
    <row r="20" spans="9:14" x14ac:dyDescent="0.2">
      <c r="L20">
        <f>SUM(L14:M14)</f>
        <v>1.0979700000000001E-4</v>
      </c>
    </row>
    <row r="21" spans="9:14" x14ac:dyDescent="0.2">
      <c r="L21">
        <f t="shared" ref="L21:L24" si="12">SUM(L15:M15)</f>
        <v>1.6299999999999999E-3</v>
      </c>
    </row>
    <row r="22" spans="9:14" x14ac:dyDescent="0.2">
      <c r="L22">
        <f t="shared" si="12"/>
        <v>1.2829999999999999E-2</v>
      </c>
    </row>
    <row r="23" spans="9:14" x14ac:dyDescent="0.2">
      <c r="L23">
        <f t="shared" si="12"/>
        <v>3.134E-2</v>
      </c>
    </row>
    <row r="24" spans="9:14" x14ac:dyDescent="0.2">
      <c r="L24">
        <f t="shared" si="12"/>
        <v>0.12956999999999999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175"/>
  <sheetViews>
    <sheetView workbookViewId="0">
      <selection activeCell="J5" sqref="J5"/>
    </sheetView>
  </sheetViews>
  <sheetFormatPr baseColWidth="10" defaultColWidth="8.83203125" defaultRowHeight="15" x14ac:dyDescent="0.2"/>
  <cols>
    <col min="2" max="8" width="0" hidden="1" customWidth="1"/>
    <col min="15" max="15" width="12.6640625" bestFit="1" customWidth="1"/>
  </cols>
  <sheetData>
    <row r="1" spans="1:25" x14ac:dyDescent="0.2">
      <c r="A1" t="s">
        <v>0</v>
      </c>
      <c r="B1" t="s">
        <v>1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I1" t="s">
        <v>7</v>
      </c>
      <c r="J1" t="s">
        <v>7</v>
      </c>
      <c r="K1" t="s">
        <v>7</v>
      </c>
      <c r="L1" t="s">
        <v>7</v>
      </c>
      <c r="M1" t="s">
        <v>7</v>
      </c>
      <c r="N1" s="39"/>
      <c r="O1" t="s">
        <v>52</v>
      </c>
    </row>
    <row r="2" spans="1:25" x14ac:dyDescent="0.2">
      <c r="B2" t="s">
        <v>2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s="39" t="s">
        <v>86</v>
      </c>
      <c r="O2" t="s">
        <v>48</v>
      </c>
    </row>
    <row r="3" spans="1:25" x14ac:dyDescent="0.2">
      <c r="A3" t="s">
        <v>27</v>
      </c>
      <c r="C3" t="s">
        <v>4</v>
      </c>
      <c r="D3" t="s">
        <v>5</v>
      </c>
      <c r="E3" t="s">
        <v>12</v>
      </c>
      <c r="F3" t="s">
        <v>6</v>
      </c>
      <c r="G3" t="s">
        <v>3</v>
      </c>
      <c r="H3" t="s">
        <v>71</v>
      </c>
      <c r="I3" t="s">
        <v>4</v>
      </c>
      <c r="J3" t="s">
        <v>5</v>
      </c>
      <c r="K3" t="s">
        <v>12</v>
      </c>
      <c r="L3" t="s">
        <v>6</v>
      </c>
      <c r="M3" t="s">
        <v>3</v>
      </c>
      <c r="N3" s="39" t="s">
        <v>87</v>
      </c>
    </row>
    <row r="4" spans="1:25" x14ac:dyDescent="0.2">
      <c r="A4">
        <v>-0.48</v>
      </c>
      <c r="B4" s="26">
        <v>-0.50888888888888884</v>
      </c>
      <c r="C4" s="35">
        <v>0.91537641447011919</v>
      </c>
      <c r="D4" s="32"/>
      <c r="E4" s="32"/>
      <c r="F4" s="32"/>
      <c r="G4" s="32"/>
      <c r="H4">
        <f>SUM(D4:G4)</f>
        <v>0</v>
      </c>
      <c r="I4">
        <f>$B$4*C4</f>
        <v>-0.46582488647479392</v>
      </c>
      <c r="N4" s="39">
        <f t="shared" ref="N4" si="0">SUM(J4:M4)</f>
        <v>0</v>
      </c>
      <c r="O4">
        <f>J4/1000*4.5*36000/(2*96485)+K4/1000*4.5*36000/(8*96485)+L4/1000*4.5*36000/(2*96485)+M4/1000*4.5*36000/(6*96485)</f>
        <v>0</v>
      </c>
    </row>
    <row r="5" spans="1:25" x14ac:dyDescent="0.2">
      <c r="A5" s="47">
        <v>-0.56999999999999995</v>
      </c>
      <c r="B5" s="26">
        <v>-0.95333333333333348</v>
      </c>
      <c r="C5" s="35">
        <v>0.99325937330822545</v>
      </c>
      <c r="D5" s="33">
        <v>4.6699154025066082E-4</v>
      </c>
      <c r="E5" s="33"/>
      <c r="F5" s="32"/>
      <c r="G5" s="32"/>
      <c r="H5">
        <f t="shared" ref="H5:H9" si="1">SUM(D5:G5)</f>
        <v>4.6699154025066082E-4</v>
      </c>
      <c r="I5">
        <f>$B$5*C5</f>
        <v>-0.94690726922050839</v>
      </c>
      <c r="J5">
        <f>$B$5*D5</f>
        <v>-4.4519860170563004E-4</v>
      </c>
      <c r="N5" s="42">
        <f>SUM(J5:M5)*1000</f>
        <v>-0.44519860170563003</v>
      </c>
      <c r="O5">
        <f>(J5/1000*4.5*36000/(2*96485)+K5/1000*4.5*36000/(8*96485)+L5/1000*4.5*36000/(2*96485)+M5/1000*4.5*36000/(6*96485))/10</f>
        <v>-3.7374811357367507E-8</v>
      </c>
    </row>
    <row r="6" spans="1:25" x14ac:dyDescent="0.2">
      <c r="A6">
        <v>-0.67</v>
      </c>
      <c r="B6" s="26">
        <v>-1.6111111111111109</v>
      </c>
      <c r="C6" s="35">
        <v>0.92473660102775712</v>
      </c>
      <c r="D6" s="33">
        <v>7.0861569018214733E-4</v>
      </c>
      <c r="E6" s="33">
        <v>1.2638085037760077E-4</v>
      </c>
      <c r="F6" s="33">
        <v>8.5543897497576433E-4</v>
      </c>
      <c r="G6" s="32"/>
      <c r="H6">
        <f t="shared" si="1"/>
        <v>1.6904355155355124E-3</v>
      </c>
      <c r="I6">
        <f>$B$6*C6</f>
        <v>-1.4898534127669418</v>
      </c>
      <c r="J6">
        <f>$B$6*D6</f>
        <v>-1.1416586119601261E-3</v>
      </c>
      <c r="K6">
        <f>$B$6*E6</f>
        <v>-2.0361359227502344E-4</v>
      </c>
      <c r="L6">
        <f>$B$6*F6</f>
        <v>-1.3782072374609535E-3</v>
      </c>
      <c r="N6" s="39">
        <f t="shared" ref="N6:N9" si="2">SUM(J6:M6)*1000</f>
        <v>-2.723479441696103</v>
      </c>
      <c r="O6">
        <f t="shared" ref="O6:O9" si="3">J6/1000*4.5*36000/(2*96485)+K6/1000*4.5*36000/(8*96485)+L6/1000*4.5*36000/(2*96485)+M6/1000*4.5*36000/(6*96485)</f>
        <v>-2.1581832310377436E-6</v>
      </c>
    </row>
    <row r="7" spans="1:25" x14ac:dyDescent="0.2">
      <c r="A7">
        <v>-0.75</v>
      </c>
      <c r="B7" s="26">
        <v>-3.9111111111111114</v>
      </c>
      <c r="C7" s="35">
        <v>1.0889522131257603</v>
      </c>
      <c r="D7" s="33">
        <v>1.259811188148106E-3</v>
      </c>
      <c r="E7" s="33">
        <v>1.7248277706721391E-4</v>
      </c>
      <c r="F7" s="33">
        <v>3.5294527532960551E-3</v>
      </c>
      <c r="G7" s="33">
        <v>4.9200099518920939E-4</v>
      </c>
      <c r="H7" s="12">
        <f>SUM(D7:G7)</f>
        <v>5.453747713700584E-3</v>
      </c>
      <c r="I7">
        <f>$B$7*C7</f>
        <v>-4.2590131002251965</v>
      </c>
      <c r="J7">
        <f>$B$7*D7</f>
        <v>-4.9272615358681481E-3</v>
      </c>
      <c r="K7">
        <f>$B$7*E7</f>
        <v>-6.7459930586288115E-4</v>
      </c>
      <c r="L7">
        <f>$B$7*F7</f>
        <v>-1.3804081879557905E-2</v>
      </c>
      <c r="M7">
        <f>$B$7*G7</f>
        <v>-1.9242705589622414E-3</v>
      </c>
      <c r="N7" s="50">
        <f t="shared" si="2"/>
        <v>-21.330213280251172</v>
      </c>
      <c r="O7">
        <f t="shared" si="3"/>
        <v>-1.6405190005547123E-5</v>
      </c>
    </row>
    <row r="8" spans="1:25" x14ac:dyDescent="0.2">
      <c r="A8">
        <v>-0.82</v>
      </c>
      <c r="B8" s="26">
        <v>-8.1222222222222218</v>
      </c>
      <c r="C8" s="35">
        <v>0.88961566483678378</v>
      </c>
      <c r="D8" s="33">
        <v>1.1198149126298591E-3</v>
      </c>
      <c r="E8" s="33">
        <v>1.4073920642321524E-4</v>
      </c>
      <c r="F8" s="33">
        <v>3.5096215411606706E-3</v>
      </c>
      <c r="G8" s="33">
        <v>5.0513758582150959E-4</v>
      </c>
      <c r="H8">
        <f t="shared" si="1"/>
        <v>5.275313246035254E-3</v>
      </c>
      <c r="I8">
        <f>$B$8*C8</f>
        <v>-7.2256561221743212</v>
      </c>
      <c r="J8">
        <f>$B$8*D8</f>
        <v>-9.0953855681380775E-3</v>
      </c>
      <c r="K8">
        <f>$B$8*E8</f>
        <v>-1.1431151099485593E-3</v>
      </c>
      <c r="L8">
        <f>$B$8*F8</f>
        <v>-2.8505926073205002E-2</v>
      </c>
      <c r="M8">
        <f>$B$8*G8</f>
        <v>-4.1028397248391501E-3</v>
      </c>
      <c r="N8" s="39">
        <f t="shared" si="2"/>
        <v>-42.847266476130791</v>
      </c>
      <c r="O8">
        <f t="shared" si="3"/>
        <v>-3.2954666492158416E-5</v>
      </c>
    </row>
    <row r="9" spans="1:25" s="2" customFormat="1" x14ac:dyDescent="0.2">
      <c r="A9" s="2">
        <v>-0.9</v>
      </c>
      <c r="B9" s="29">
        <v>-12.633333333333333</v>
      </c>
      <c r="C9" s="36">
        <v>1.0162969896392167</v>
      </c>
      <c r="D9" s="34">
        <v>1.3243194716874923E-3</v>
      </c>
      <c r="E9" s="34">
        <v>1.0973321304136721E-4</v>
      </c>
      <c r="F9" s="34">
        <v>2.974282310362618E-3</v>
      </c>
      <c r="G9" s="34">
        <v>5.4412379122385204E-4</v>
      </c>
      <c r="H9">
        <f t="shared" si="1"/>
        <v>4.9524587863153295E-3</v>
      </c>
      <c r="I9" s="2">
        <f>$B$9*C9</f>
        <v>-12.839218635775437</v>
      </c>
      <c r="J9" s="2">
        <f>$B$9*D9</f>
        <v>-1.6730569325651985E-2</v>
      </c>
      <c r="K9" s="2">
        <f>$B$9*E9</f>
        <v>-1.3862962580892724E-3</v>
      </c>
      <c r="L9" s="2">
        <f>$B$9*F9</f>
        <v>-3.7575099854247736E-2</v>
      </c>
      <c r="M9" s="2">
        <f>$B$9*G9</f>
        <v>-6.874097229127997E-3</v>
      </c>
      <c r="N9" s="39">
        <f t="shared" si="2"/>
        <v>-62.566062667116981</v>
      </c>
      <c r="O9">
        <f t="shared" si="3"/>
        <v>-4.7804656972427216E-5</v>
      </c>
      <c r="P9"/>
      <c r="Q9"/>
      <c r="R9"/>
      <c r="S9"/>
      <c r="T9"/>
      <c r="U9"/>
    </row>
    <row r="11" spans="1:25" s="28" customFormat="1" x14ac:dyDescent="0.2"/>
    <row r="12" spans="1:25" s="28" customFormat="1" x14ac:dyDescent="0.2"/>
    <row r="13" spans="1:25" s="28" customFormat="1" x14ac:dyDescent="0.2">
      <c r="E13" s="37"/>
      <c r="F13" s="37"/>
      <c r="G13" s="37"/>
      <c r="H13" s="37"/>
      <c r="I13" s="37"/>
      <c r="J13" s="37"/>
      <c r="K13" s="37"/>
      <c r="L13" s="37"/>
      <c r="M13" s="41"/>
      <c r="N13" s="37"/>
      <c r="O13" s="38"/>
      <c r="P13" s="37"/>
      <c r="Q13" s="37"/>
      <c r="R13" s="37"/>
      <c r="S13" s="37"/>
      <c r="T13" s="37"/>
      <c r="U13" s="37"/>
      <c r="V13" s="37"/>
      <c r="W13" s="37"/>
      <c r="X13" s="41"/>
      <c r="Y13" s="37"/>
    </row>
    <row r="14" spans="1:25" s="28" customFormat="1" x14ac:dyDescent="0.2">
      <c r="A14" s="27"/>
      <c r="B14" s="27"/>
      <c r="C14" s="27"/>
      <c r="D14" s="37"/>
      <c r="E14" s="32"/>
      <c r="F14" s="32"/>
      <c r="G14" s="32"/>
      <c r="H14" s="32"/>
      <c r="I14" s="32"/>
      <c r="J14" s="32"/>
      <c r="K14" s="32"/>
      <c r="L14" s="32"/>
      <c r="M14" s="33"/>
      <c r="N14" s="33"/>
      <c r="X14" s="37"/>
      <c r="Y14" s="27"/>
    </row>
    <row r="15" spans="1:25" s="28" customFormat="1" x14ac:dyDescent="0.2">
      <c r="A15" s="27"/>
      <c r="B15" s="27"/>
      <c r="C15" s="27"/>
      <c r="D15" s="37"/>
      <c r="E15" s="33"/>
      <c r="F15" s="33"/>
      <c r="G15" s="32"/>
      <c r="H15" s="32"/>
      <c r="I15" s="32"/>
      <c r="J15" s="32"/>
      <c r="K15" s="33"/>
      <c r="L15" s="33"/>
      <c r="M15" s="33"/>
      <c r="N15" s="33"/>
      <c r="T15" s="30"/>
      <c r="U15" s="31"/>
      <c r="X15" s="37"/>
      <c r="Y15" s="27"/>
    </row>
    <row r="16" spans="1:25" s="28" customFormat="1" x14ac:dyDescent="0.2">
      <c r="A16" s="27"/>
      <c r="B16" s="27"/>
      <c r="C16" s="27"/>
      <c r="D16" s="37"/>
      <c r="E16" s="33"/>
      <c r="F16" s="33"/>
      <c r="G16" s="32"/>
      <c r="H16" s="32"/>
      <c r="I16" s="33"/>
      <c r="J16" s="33"/>
      <c r="K16" s="33"/>
      <c r="L16" s="33"/>
      <c r="M16" s="33"/>
      <c r="N16" s="33"/>
      <c r="P16" s="30"/>
      <c r="Q16" s="31"/>
      <c r="T16" s="30"/>
      <c r="U16" s="31"/>
      <c r="V16" s="30"/>
      <c r="W16" s="31"/>
      <c r="X16" s="37"/>
      <c r="Y16" s="27"/>
    </row>
    <row r="17" spans="1:25" s="28" customFormat="1" x14ac:dyDescent="0.2">
      <c r="A17" s="27"/>
      <c r="B17" s="27"/>
      <c r="C17" s="27"/>
      <c r="D17" s="37"/>
      <c r="E17" s="33"/>
      <c r="F17" s="33"/>
      <c r="G17" s="33"/>
      <c r="H17" s="33"/>
      <c r="I17" s="33"/>
      <c r="J17" s="33"/>
      <c r="K17" s="33"/>
      <c r="L17" s="33"/>
      <c r="M17" s="33"/>
      <c r="N17" s="33"/>
      <c r="P17" s="30"/>
      <c r="Q17" s="31"/>
      <c r="R17" s="30"/>
      <c r="S17" s="31"/>
      <c r="T17" s="30"/>
      <c r="U17" s="31"/>
      <c r="V17" s="30"/>
      <c r="W17" s="31"/>
      <c r="X17" s="37"/>
      <c r="Y17" s="27"/>
    </row>
    <row r="18" spans="1:25" s="28" customFormat="1" x14ac:dyDescent="0.2">
      <c r="A18" s="27"/>
      <c r="B18" s="27"/>
      <c r="C18" s="27"/>
      <c r="D18" s="37"/>
      <c r="E18" s="33"/>
      <c r="F18" s="33"/>
      <c r="G18" s="33"/>
      <c r="H18" s="33"/>
      <c r="I18" s="33"/>
      <c r="J18" s="33"/>
      <c r="K18" s="33"/>
      <c r="L18" s="33"/>
      <c r="M18" s="33"/>
      <c r="N18" s="33"/>
      <c r="P18" s="30"/>
      <c r="Q18" s="31"/>
      <c r="R18" s="30"/>
      <c r="S18" s="31"/>
      <c r="T18" s="30"/>
      <c r="U18" s="31"/>
      <c r="V18" s="30"/>
      <c r="W18" s="31"/>
      <c r="X18" s="37"/>
      <c r="Y18" s="27"/>
    </row>
    <row r="19" spans="1:25" s="28" customFormat="1" x14ac:dyDescent="0.2">
      <c r="A19" s="27"/>
      <c r="B19" s="27"/>
      <c r="C19" s="27"/>
      <c r="D19" s="37"/>
      <c r="E19" s="33"/>
      <c r="F19" s="33"/>
      <c r="G19" s="33"/>
      <c r="H19" s="33"/>
      <c r="I19" s="33"/>
      <c r="J19" s="33"/>
      <c r="K19" s="33"/>
      <c r="L19" s="33"/>
      <c r="M19" s="33"/>
      <c r="N19" s="33"/>
      <c r="P19" s="30"/>
      <c r="Q19" s="31"/>
      <c r="R19" s="30"/>
      <c r="S19" s="31"/>
      <c r="T19" s="30"/>
      <c r="U19" s="31"/>
      <c r="V19" s="30"/>
      <c r="W19" s="31"/>
      <c r="X19" s="37"/>
      <c r="Y19" s="27"/>
    </row>
    <row r="20" spans="1:25" s="28" customFormat="1" x14ac:dyDescent="0.2"/>
    <row r="21" spans="1:25" s="28" customFormat="1" x14ac:dyDescent="0.2"/>
    <row r="22" spans="1:25" s="28" customFormat="1" x14ac:dyDescent="0.2"/>
    <row r="23" spans="1:25" s="28" customFormat="1" x14ac:dyDescent="0.2">
      <c r="O23" s="31"/>
    </row>
    <row r="24" spans="1:25" s="28" customFormat="1" x14ac:dyDescent="0.2">
      <c r="O24" s="31"/>
    </row>
    <row r="25" spans="1:25" s="28" customFormat="1" x14ac:dyDescent="0.2">
      <c r="O25" s="31"/>
    </row>
    <row r="26" spans="1:25" s="28" customFormat="1" x14ac:dyDescent="0.2">
      <c r="O26" s="31"/>
    </row>
    <row r="27" spans="1:25" s="28" customFormat="1" x14ac:dyDescent="0.2"/>
    <row r="28" spans="1:25" s="28" customFormat="1" x14ac:dyDescent="0.2"/>
    <row r="29" spans="1:25" s="28" customFormat="1" x14ac:dyDescent="0.2"/>
    <row r="30" spans="1:25" s="28" customFormat="1" x14ac:dyDescent="0.2"/>
    <row r="31" spans="1:25" s="28" customFormat="1" x14ac:dyDescent="0.2"/>
    <row r="32" spans="1:25" s="28" customFormat="1" x14ac:dyDescent="0.2"/>
    <row r="33" s="28" customFormat="1" x14ac:dyDescent="0.2"/>
    <row r="34" s="28" customFormat="1" x14ac:dyDescent="0.2"/>
    <row r="35" s="28" customFormat="1" x14ac:dyDescent="0.2"/>
    <row r="36" s="28" customFormat="1" x14ac:dyDescent="0.2"/>
    <row r="37" s="28" customFormat="1" x14ac:dyDescent="0.2"/>
    <row r="38" s="28" customFormat="1" x14ac:dyDescent="0.2"/>
    <row r="39" s="28" customFormat="1" x14ac:dyDescent="0.2"/>
    <row r="40" s="28" customFormat="1" x14ac:dyDescent="0.2"/>
    <row r="41" s="28" customFormat="1" x14ac:dyDescent="0.2"/>
    <row r="42" s="28" customFormat="1" x14ac:dyDescent="0.2"/>
    <row r="43" s="28" customFormat="1" x14ac:dyDescent="0.2"/>
    <row r="44" s="28" customFormat="1" x14ac:dyDescent="0.2"/>
    <row r="45" s="28" customFormat="1" x14ac:dyDescent="0.2"/>
    <row r="46" s="28" customFormat="1" x14ac:dyDescent="0.2"/>
    <row r="47" s="28" customFormat="1" x14ac:dyDescent="0.2"/>
    <row r="48" s="28" customFormat="1" x14ac:dyDescent="0.2"/>
    <row r="49" s="28" customFormat="1" x14ac:dyDescent="0.2"/>
    <row r="50" s="28" customFormat="1" x14ac:dyDescent="0.2"/>
    <row r="51" s="28" customFormat="1" x14ac:dyDescent="0.2"/>
    <row r="52" s="28" customFormat="1" x14ac:dyDescent="0.2"/>
    <row r="53" s="28" customFormat="1" x14ac:dyDescent="0.2"/>
    <row r="54" s="28" customFormat="1" x14ac:dyDescent="0.2"/>
    <row r="55" s="28" customFormat="1" x14ac:dyDescent="0.2"/>
    <row r="56" s="28" customFormat="1" x14ac:dyDescent="0.2"/>
    <row r="57" s="28" customFormat="1" x14ac:dyDescent="0.2"/>
    <row r="58" s="28" customFormat="1" x14ac:dyDescent="0.2"/>
    <row r="59" s="28" customFormat="1" x14ac:dyDescent="0.2"/>
    <row r="60" s="28" customFormat="1" x14ac:dyDescent="0.2"/>
    <row r="61" s="28" customFormat="1" x14ac:dyDescent="0.2"/>
    <row r="62" s="28" customFormat="1" x14ac:dyDescent="0.2"/>
    <row r="63" s="28" customFormat="1" x14ac:dyDescent="0.2"/>
    <row r="64" s="28" customFormat="1" x14ac:dyDescent="0.2"/>
    <row r="65" s="28" customFormat="1" x14ac:dyDescent="0.2"/>
    <row r="66" s="28" customFormat="1" x14ac:dyDescent="0.2"/>
    <row r="67" s="28" customFormat="1" x14ac:dyDescent="0.2"/>
    <row r="68" s="28" customFormat="1" x14ac:dyDescent="0.2"/>
    <row r="69" s="28" customFormat="1" x14ac:dyDescent="0.2"/>
    <row r="70" s="28" customFormat="1" x14ac:dyDescent="0.2"/>
    <row r="71" s="28" customFormat="1" x14ac:dyDescent="0.2"/>
    <row r="72" s="28" customFormat="1" x14ac:dyDescent="0.2"/>
    <row r="73" s="28" customFormat="1" x14ac:dyDescent="0.2"/>
    <row r="74" s="28" customFormat="1" x14ac:dyDescent="0.2"/>
    <row r="75" s="28" customFormat="1" x14ac:dyDescent="0.2"/>
    <row r="76" s="28" customFormat="1" x14ac:dyDescent="0.2"/>
    <row r="77" s="28" customFormat="1" x14ac:dyDescent="0.2"/>
    <row r="78" s="28" customFormat="1" x14ac:dyDescent="0.2"/>
    <row r="79" s="28" customFormat="1" x14ac:dyDescent="0.2"/>
    <row r="80" s="28" customFormat="1" x14ac:dyDescent="0.2"/>
    <row r="81" s="28" customFormat="1" x14ac:dyDescent="0.2"/>
    <row r="82" s="28" customFormat="1" x14ac:dyDescent="0.2"/>
    <row r="83" s="28" customFormat="1" x14ac:dyDescent="0.2"/>
    <row r="84" s="28" customFormat="1" x14ac:dyDescent="0.2"/>
    <row r="85" s="28" customFormat="1" x14ac:dyDescent="0.2"/>
    <row r="86" s="28" customFormat="1" x14ac:dyDescent="0.2"/>
    <row r="87" s="28" customFormat="1" x14ac:dyDescent="0.2"/>
    <row r="88" s="28" customFormat="1" x14ac:dyDescent="0.2"/>
    <row r="89" s="28" customFormat="1" x14ac:dyDescent="0.2"/>
    <row r="90" s="28" customFormat="1" x14ac:dyDescent="0.2"/>
    <row r="91" s="28" customFormat="1" x14ac:dyDescent="0.2"/>
    <row r="92" s="28" customFormat="1" x14ac:dyDescent="0.2"/>
    <row r="93" s="28" customFormat="1" x14ac:dyDescent="0.2"/>
    <row r="94" s="28" customFormat="1" x14ac:dyDescent="0.2"/>
    <row r="95" s="28" customFormat="1" x14ac:dyDescent="0.2"/>
    <row r="96" s="28" customFormat="1" x14ac:dyDescent="0.2"/>
    <row r="97" s="28" customFormat="1" x14ac:dyDescent="0.2"/>
    <row r="98" s="28" customFormat="1" x14ac:dyDescent="0.2"/>
    <row r="99" s="28" customFormat="1" x14ac:dyDescent="0.2"/>
    <row r="100" s="28" customFormat="1" x14ac:dyDescent="0.2"/>
    <row r="101" s="28" customFormat="1" x14ac:dyDescent="0.2"/>
    <row r="102" s="28" customFormat="1" x14ac:dyDescent="0.2"/>
    <row r="103" s="28" customFormat="1" x14ac:dyDescent="0.2"/>
    <row r="104" s="28" customFormat="1" x14ac:dyDescent="0.2"/>
    <row r="105" s="28" customFormat="1" x14ac:dyDescent="0.2"/>
    <row r="106" s="28" customFormat="1" x14ac:dyDescent="0.2"/>
    <row r="107" s="28" customFormat="1" x14ac:dyDescent="0.2"/>
    <row r="108" s="28" customFormat="1" x14ac:dyDescent="0.2"/>
    <row r="109" s="28" customFormat="1" x14ac:dyDescent="0.2"/>
    <row r="110" s="28" customFormat="1" x14ac:dyDescent="0.2"/>
    <row r="111" s="28" customFormat="1" x14ac:dyDescent="0.2"/>
    <row r="112" s="28" customFormat="1" x14ac:dyDescent="0.2"/>
    <row r="113" s="28" customFormat="1" x14ac:dyDescent="0.2"/>
    <row r="114" s="28" customFormat="1" x14ac:dyDescent="0.2"/>
    <row r="115" s="28" customFormat="1" x14ac:dyDescent="0.2"/>
    <row r="116" s="28" customFormat="1" x14ac:dyDescent="0.2"/>
    <row r="117" s="28" customFormat="1" x14ac:dyDescent="0.2"/>
    <row r="118" s="28" customFormat="1" x14ac:dyDescent="0.2"/>
    <row r="119" s="28" customFormat="1" x14ac:dyDescent="0.2"/>
    <row r="120" s="28" customFormat="1" x14ac:dyDescent="0.2"/>
    <row r="121" s="28" customFormat="1" x14ac:dyDescent="0.2"/>
    <row r="122" s="28" customFormat="1" x14ac:dyDescent="0.2"/>
    <row r="123" s="28" customFormat="1" x14ac:dyDescent="0.2"/>
    <row r="124" s="28" customFormat="1" x14ac:dyDescent="0.2"/>
    <row r="125" s="28" customFormat="1" x14ac:dyDescent="0.2"/>
    <row r="126" s="28" customFormat="1" x14ac:dyDescent="0.2"/>
    <row r="127" s="28" customFormat="1" x14ac:dyDescent="0.2"/>
    <row r="128" s="28" customFormat="1" x14ac:dyDescent="0.2"/>
    <row r="129" s="28" customFormat="1" x14ac:dyDescent="0.2"/>
    <row r="130" s="28" customFormat="1" x14ac:dyDescent="0.2"/>
    <row r="131" s="28" customFormat="1" x14ac:dyDescent="0.2"/>
    <row r="132" s="28" customFormat="1" x14ac:dyDescent="0.2"/>
    <row r="133" s="28" customFormat="1" x14ac:dyDescent="0.2"/>
    <row r="134" s="28" customFormat="1" x14ac:dyDescent="0.2"/>
    <row r="135" s="28" customFormat="1" x14ac:dyDescent="0.2"/>
    <row r="136" s="28" customFormat="1" x14ac:dyDescent="0.2"/>
    <row r="137" s="28" customFormat="1" x14ac:dyDescent="0.2"/>
    <row r="138" s="28" customFormat="1" x14ac:dyDescent="0.2"/>
    <row r="139" s="28" customFormat="1" x14ac:dyDescent="0.2"/>
    <row r="140" s="28" customFormat="1" x14ac:dyDescent="0.2"/>
    <row r="141" s="28" customFormat="1" x14ac:dyDescent="0.2"/>
    <row r="142" s="28" customFormat="1" x14ac:dyDescent="0.2"/>
    <row r="143" s="28" customFormat="1" x14ac:dyDescent="0.2"/>
    <row r="144" s="28" customFormat="1" x14ac:dyDescent="0.2"/>
    <row r="145" s="28" customFormat="1" x14ac:dyDescent="0.2"/>
    <row r="146" s="28" customFormat="1" x14ac:dyDescent="0.2"/>
    <row r="147" s="28" customFormat="1" x14ac:dyDescent="0.2"/>
    <row r="148" s="28" customFormat="1" x14ac:dyDescent="0.2"/>
    <row r="149" s="28" customFormat="1" x14ac:dyDescent="0.2"/>
    <row r="150" s="28" customFormat="1" x14ac:dyDescent="0.2"/>
    <row r="151" s="28" customFormat="1" x14ac:dyDescent="0.2"/>
    <row r="152" s="28" customFormat="1" x14ac:dyDescent="0.2"/>
    <row r="153" s="28" customFormat="1" x14ac:dyDescent="0.2"/>
    <row r="154" s="28" customFormat="1" x14ac:dyDescent="0.2"/>
    <row r="155" s="28" customFormat="1" x14ac:dyDescent="0.2"/>
    <row r="156" s="28" customFormat="1" x14ac:dyDescent="0.2"/>
    <row r="157" s="28" customFormat="1" x14ac:dyDescent="0.2"/>
    <row r="158" s="28" customFormat="1" x14ac:dyDescent="0.2"/>
    <row r="159" s="28" customFormat="1" x14ac:dyDescent="0.2"/>
    <row r="160" s="28" customFormat="1" x14ac:dyDescent="0.2"/>
    <row r="161" s="28" customFormat="1" x14ac:dyDescent="0.2"/>
    <row r="162" s="28" customFormat="1" x14ac:dyDescent="0.2"/>
    <row r="163" s="28" customFormat="1" x14ac:dyDescent="0.2"/>
    <row r="164" s="28" customFormat="1" x14ac:dyDescent="0.2"/>
    <row r="165" s="28" customFormat="1" x14ac:dyDescent="0.2"/>
    <row r="166" s="28" customFormat="1" x14ac:dyDescent="0.2"/>
    <row r="167" s="28" customFormat="1" x14ac:dyDescent="0.2"/>
    <row r="168" s="28" customFormat="1" x14ac:dyDescent="0.2"/>
    <row r="169" s="28" customFormat="1" x14ac:dyDescent="0.2"/>
    <row r="170" s="28" customFormat="1" x14ac:dyDescent="0.2"/>
    <row r="171" s="28" customFormat="1" x14ac:dyDescent="0.2"/>
    <row r="172" s="28" customFormat="1" x14ac:dyDescent="0.2"/>
    <row r="173" s="28" customFormat="1" x14ac:dyDescent="0.2"/>
    <row r="174" s="28" customFormat="1" x14ac:dyDescent="0.2"/>
    <row r="175" s="28" customFormat="1" x14ac:dyDescent="0.2"/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AF10"/>
  <sheetViews>
    <sheetView topLeftCell="T1" workbookViewId="0">
      <selection activeCell="AF8" sqref="AF8"/>
    </sheetView>
  </sheetViews>
  <sheetFormatPr baseColWidth="10" defaultColWidth="8.83203125" defaultRowHeight="15" x14ac:dyDescent="0.2"/>
  <cols>
    <col min="1" max="1" width="21.5" customWidth="1"/>
    <col min="2" max="2" width="9.1640625" customWidth="1"/>
    <col min="3" max="10" width="9.1640625" hidden="1" customWidth="1"/>
    <col min="11" max="11" width="0" hidden="1" customWidth="1"/>
    <col min="13" max="13" width="13" customWidth="1"/>
    <col min="19" max="19" width="12.6640625" bestFit="1" customWidth="1"/>
    <col min="20" max="20" width="12.6640625" customWidth="1"/>
  </cols>
  <sheetData>
    <row r="1" spans="1:32" x14ac:dyDescent="0.2">
      <c r="A1" t="s">
        <v>0</v>
      </c>
      <c r="B1" t="s">
        <v>7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K1" t="s">
        <v>7</v>
      </c>
      <c r="L1" t="s">
        <v>7</v>
      </c>
      <c r="M1" t="s">
        <v>7</v>
      </c>
      <c r="N1" t="s">
        <v>7</v>
      </c>
      <c r="O1" t="s">
        <v>7</v>
      </c>
      <c r="P1" t="s">
        <v>7</v>
      </c>
      <c r="Q1" s="39"/>
      <c r="T1" t="s">
        <v>7</v>
      </c>
      <c r="U1" t="s">
        <v>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</row>
    <row r="2" spans="1:32" x14ac:dyDescent="0.2">
      <c r="B2" t="s">
        <v>2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s="39" t="s">
        <v>86</v>
      </c>
      <c r="T2" t="s">
        <v>2</v>
      </c>
      <c r="U2" t="s">
        <v>2</v>
      </c>
      <c r="W2" t="s">
        <v>9</v>
      </c>
      <c r="Y2" t="s">
        <v>9</v>
      </c>
      <c r="Z2" t="s">
        <v>9</v>
      </c>
      <c r="AA2" t="s">
        <v>9</v>
      </c>
      <c r="AB2" t="s">
        <v>9</v>
      </c>
      <c r="AD2" t="s">
        <v>167</v>
      </c>
      <c r="AF2" t="s">
        <v>169</v>
      </c>
    </row>
    <row r="3" spans="1:32" x14ac:dyDescent="0.2">
      <c r="A3" t="s">
        <v>29</v>
      </c>
      <c r="C3" t="s">
        <v>4</v>
      </c>
      <c r="D3" t="s">
        <v>12</v>
      </c>
      <c r="E3" t="s">
        <v>13</v>
      </c>
      <c r="F3" t="s">
        <v>24</v>
      </c>
      <c r="G3" t="s">
        <v>6</v>
      </c>
      <c r="H3" t="s">
        <v>3</v>
      </c>
      <c r="I3" t="s">
        <v>68</v>
      </c>
      <c r="J3" t="s">
        <v>72</v>
      </c>
      <c r="K3" t="s">
        <v>4</v>
      </c>
      <c r="L3" t="s">
        <v>12</v>
      </c>
      <c r="M3" t="s">
        <v>13</v>
      </c>
      <c r="N3" t="s">
        <v>24</v>
      </c>
      <c r="O3" t="s">
        <v>6</v>
      </c>
      <c r="P3" t="s">
        <v>3</v>
      </c>
      <c r="Q3" s="39" t="s">
        <v>49</v>
      </c>
      <c r="R3" t="s">
        <v>59</v>
      </c>
      <c r="S3" t="s">
        <v>70</v>
      </c>
      <c r="T3" t="s">
        <v>31</v>
      </c>
      <c r="U3" t="s">
        <v>56</v>
      </c>
      <c r="V3" t="s">
        <v>57</v>
      </c>
      <c r="W3" t="s">
        <v>29</v>
      </c>
      <c r="X3" t="s">
        <v>29</v>
      </c>
      <c r="Y3" t="s">
        <v>29</v>
      </c>
      <c r="Z3" t="s">
        <v>29</v>
      </c>
      <c r="AA3" t="s">
        <v>29</v>
      </c>
      <c r="AB3" t="s">
        <v>29</v>
      </c>
    </row>
    <row r="4" spans="1:32" x14ac:dyDescent="0.2">
      <c r="A4">
        <v>-0.650111623505787</v>
      </c>
      <c r="B4">
        <v>-0.19614676959043065</v>
      </c>
      <c r="C4">
        <v>1.0465648523743551</v>
      </c>
      <c r="I4">
        <f>SUM(C4:H4)</f>
        <v>1.0465648523743551</v>
      </c>
      <c r="J4">
        <f t="shared" ref="J4:J10" si="0">SUM(D4:H4)</f>
        <v>0</v>
      </c>
      <c r="K4">
        <v>-0.2052803149601157</v>
      </c>
      <c r="Q4" s="39">
        <f>SUM(L4:P4)</f>
        <v>0</v>
      </c>
      <c r="R4">
        <f>Q4/K4</f>
        <v>0</v>
      </c>
      <c r="S4">
        <f t="shared" ref="S4:S10" si="1">(L4/1000*4.5*36000/(8*96485)+M4/1000*4.5*36000/(12*96485)+N4/1000*4.5*36000/(14*96485)+O4/1000*4.5*36000/(2*96485)+P4/1000*4.5*36000/(6*96485))/10</f>
        <v>0</v>
      </c>
      <c r="T4">
        <f>ABS(SUM(L4:N4))</f>
        <v>0</v>
      </c>
      <c r="U4">
        <f>SUM(L4:N4,P4)</f>
        <v>0</v>
      </c>
    </row>
    <row r="5" spans="1:32" x14ac:dyDescent="0.2">
      <c r="A5" s="47">
        <v>-0.74788236064250124</v>
      </c>
      <c r="B5">
        <v>-0.46923608792046095</v>
      </c>
      <c r="C5">
        <v>1.04605659823672</v>
      </c>
      <c r="D5">
        <v>1.5897765125612476E-3</v>
      </c>
      <c r="E5">
        <v>7.656721093688451E-5</v>
      </c>
      <c r="F5">
        <v>1.0838503287855547E-3</v>
      </c>
      <c r="I5">
        <f t="shared" ref="I5:I10" si="2">SUM(C5:H5)</f>
        <v>1.0488067922890036</v>
      </c>
      <c r="J5">
        <f t="shared" si="0"/>
        <v>2.750194052283687E-3</v>
      </c>
      <c r="K5">
        <v>-0.49084750589998388</v>
      </c>
      <c r="L5">
        <v>-7.4598051142207335E-4</v>
      </c>
      <c r="M5" s="43">
        <v>-3.5928098523004417E-5</v>
      </c>
      <c r="N5">
        <v>-5.085816881706391E-4</v>
      </c>
      <c r="Q5" s="42">
        <f>SUM(L5:P5)*1000</f>
        <v>-1.2904902981157169</v>
      </c>
      <c r="R5">
        <f t="shared" ref="R5:R10" si="3">Q5/K5</f>
        <v>2.629106357074309</v>
      </c>
      <c r="S5">
        <f t="shared" si="1"/>
        <v>-2.2258539009960773E-8</v>
      </c>
      <c r="T5">
        <f t="shared" ref="T5:T10" si="4">ABS(SUM(L5:N5))</f>
        <v>1.2904902981157168E-3</v>
      </c>
      <c r="U5">
        <f>SUM(L5:N5,P5)</f>
        <v>-1.2904902981157168E-3</v>
      </c>
      <c r="V5">
        <f t="shared" ref="V5:V10" si="5">SUM(M5:N5)/U5</f>
        <v>0.42194024045643613</v>
      </c>
      <c r="W5">
        <f t="shared" ref="W5:W10" si="6">U5/Q5</f>
        <v>1E-3</v>
      </c>
      <c r="X5">
        <f t="shared" ref="X5:X10" si="7">Q5/K5</f>
        <v>2.629106357074309</v>
      </c>
      <c r="AA5">
        <f t="shared" ref="AA5:AA10" si="8">P5/SUM(P5,L5:N5)</f>
        <v>0</v>
      </c>
      <c r="AB5">
        <f t="shared" ref="AB5:AB10" si="9">SUM(D5:F5)/SUM(D5:F5,H5)</f>
        <v>1</v>
      </c>
      <c r="AD5">
        <f>100*Q5*0.001/B5</f>
        <v>0.27501940522836871</v>
      </c>
      <c r="AF5">
        <f>100*L5/B5</f>
        <v>0.15897765125612473</v>
      </c>
    </row>
    <row r="6" spans="1:32" x14ac:dyDescent="0.2">
      <c r="A6">
        <v>-0.82032941357880551</v>
      </c>
      <c r="B6">
        <v>-0.752973651011141</v>
      </c>
      <c r="C6">
        <v>0.9613068577349505</v>
      </c>
      <c r="D6">
        <v>3.1159354812893654E-3</v>
      </c>
      <c r="E6">
        <v>3.6018463086634771E-4</v>
      </c>
      <c r="F6">
        <v>1.5711955414137971E-3</v>
      </c>
      <c r="G6">
        <v>1.75663907187507E-4</v>
      </c>
      <c r="H6">
        <v>3.6564827749279252E-3</v>
      </c>
      <c r="I6">
        <f t="shared" si="2"/>
        <v>0.97018632007063554</v>
      </c>
      <c r="J6">
        <f t="shared" si="0"/>
        <v>8.8794623356849428E-3</v>
      </c>
      <c r="K6">
        <v>-0.72383873441073321</v>
      </c>
      <c r="L6">
        <v>-2.3462173156616104E-3</v>
      </c>
      <c r="M6">
        <v>-2.7120953654153392E-4</v>
      </c>
      <c r="N6">
        <v>-1.1830688432707731E-3</v>
      </c>
      <c r="O6">
        <v>-1.3227029354585937E-4</v>
      </c>
      <c r="P6">
        <v>-2.753235184896828E-3</v>
      </c>
      <c r="Q6" s="39">
        <f>SUM(L6:P6)*1000</f>
        <v>-6.6860011739166056</v>
      </c>
      <c r="R6">
        <f t="shared" si="3"/>
        <v>9.2368656940686993</v>
      </c>
      <c r="S6">
        <f t="shared" si="1"/>
        <v>-1.5537469012787237E-7</v>
      </c>
      <c r="T6">
        <f t="shared" si="4"/>
        <v>3.8004956954739173E-3</v>
      </c>
      <c r="U6">
        <f t="shared" ref="U6:U10" si="10">SUM(L6:N6,P6)</f>
        <v>-6.5537308803707457E-3</v>
      </c>
      <c r="V6">
        <f t="shared" si="5"/>
        <v>0.22190083882877387</v>
      </c>
      <c r="W6">
        <f t="shared" si="6"/>
        <v>9.8021683064282547E-4</v>
      </c>
      <c r="X6">
        <f t="shared" si="7"/>
        <v>9.2368656940686993</v>
      </c>
      <c r="Y6">
        <v>0</v>
      </c>
      <c r="Z6">
        <f t="shared" ref="Z6:Z10" si="11">O6/O6</f>
        <v>1</v>
      </c>
      <c r="AA6">
        <f t="shared" si="8"/>
        <v>0.42010195950265766</v>
      </c>
      <c r="AB6">
        <f t="shared" si="9"/>
        <v>0.57989804049734228</v>
      </c>
      <c r="AD6">
        <f t="shared" ref="AD6:AD10" si="12">100*Q6*0.001/B6</f>
        <v>0.88794623356849434</v>
      </c>
      <c r="AF6">
        <f t="shared" ref="AF6:AF10" si="13">100*L6/B6</f>
        <v>0.31159354812893653</v>
      </c>
    </row>
    <row r="7" spans="1:32" x14ac:dyDescent="0.2">
      <c r="A7" s="49">
        <v>-0.8900284901761748</v>
      </c>
      <c r="B7">
        <v>-1.2335676874884325</v>
      </c>
      <c r="C7">
        <v>0.96999821613430059</v>
      </c>
      <c r="D7">
        <v>5.3556738147292251E-3</v>
      </c>
      <c r="E7">
        <v>1.3916662281709274E-4</v>
      </c>
      <c r="F7">
        <v>2.5332198577831123E-4</v>
      </c>
      <c r="G7">
        <v>4.8979208715104307E-4</v>
      </c>
      <c r="H7">
        <v>9.6713304028981009E-3</v>
      </c>
      <c r="I7">
        <f t="shared" si="2"/>
        <v>0.98590750104767444</v>
      </c>
      <c r="J7">
        <f t="shared" si="0"/>
        <v>1.5909284913373775E-2</v>
      </c>
      <c r="K7">
        <v>-1.1965584563446938</v>
      </c>
      <c r="L7">
        <v>-6.6065861625778819E-3</v>
      </c>
      <c r="M7">
        <v>-1.7167144908405602E-4</v>
      </c>
      <c r="N7">
        <v>-3.1248981618652895E-4</v>
      </c>
      <c r="O7">
        <v>-6.0419169229704501E-4</v>
      </c>
      <c r="P7">
        <v>-1.193024068003958E-2</v>
      </c>
      <c r="Q7" s="46">
        <f t="shared" ref="Q7:Q10" si="14">SUM(L7:P7)*1000</f>
        <v>-19.625179800185091</v>
      </c>
      <c r="R7">
        <f t="shared" si="3"/>
        <v>16.401354815657786</v>
      </c>
      <c r="S7">
        <f t="shared" si="1"/>
        <v>-5.2938064298001505E-7</v>
      </c>
      <c r="T7">
        <f t="shared" si="4"/>
        <v>7.0907474278484673E-3</v>
      </c>
      <c r="U7">
        <f t="shared" si="10"/>
        <v>-1.9020988107888048E-2</v>
      </c>
      <c r="V7">
        <f t="shared" si="5"/>
        <v>2.5454054359552551E-2</v>
      </c>
      <c r="W7">
        <f t="shared" si="6"/>
        <v>9.6921344423599404E-4</v>
      </c>
      <c r="X7">
        <f t="shared" si="7"/>
        <v>16.401354815657786</v>
      </c>
      <c r="Y7">
        <v>0</v>
      </c>
      <c r="Z7">
        <f t="shared" si="11"/>
        <v>1</v>
      </c>
      <c r="AA7">
        <f t="shared" si="8"/>
        <v>0.62721455964172967</v>
      </c>
      <c r="AB7">
        <f t="shared" si="9"/>
        <v>0.37278544035827027</v>
      </c>
      <c r="AD7">
        <f t="shared" si="12"/>
        <v>1.5909284913373771</v>
      </c>
      <c r="AF7">
        <f>100*L7/B7</f>
        <v>0.53556738147292249</v>
      </c>
    </row>
    <row r="8" spans="1:32" x14ac:dyDescent="0.2">
      <c r="A8" s="7">
        <v>-0.94823747182552776</v>
      </c>
      <c r="B8" s="7">
        <v>-2.8060713054980102</v>
      </c>
      <c r="C8" s="7">
        <v>0.97315912552406303</v>
      </c>
      <c r="D8" s="7">
        <v>3.6092647003264722E-3</v>
      </c>
      <c r="E8" s="7">
        <v>3.4631911549555002E-4</v>
      </c>
      <c r="F8" s="7">
        <v>1.5504771615122623E-3</v>
      </c>
      <c r="G8" s="7">
        <v>8.0537125136269122E-4</v>
      </c>
      <c r="H8" s="7">
        <v>2.8963776686746198E-2</v>
      </c>
      <c r="I8" s="7">
        <f t="shared" si="2"/>
        <v>1.0084343344395061</v>
      </c>
      <c r="J8" s="7">
        <f t="shared" si="0"/>
        <v>3.5275208915443175E-2</v>
      </c>
      <c r="K8" s="7">
        <v>-2.7307538978166095</v>
      </c>
      <c r="L8">
        <v>-1.0127854109532989E-2</v>
      </c>
      <c r="M8">
        <v>-9.717961325375142E-4</v>
      </c>
      <c r="N8">
        <v>-4.3507494727495627E-3</v>
      </c>
      <c r="O8">
        <v>-2.2599291587218732E-3</v>
      </c>
      <c r="P8">
        <v>-8.1274422659530735E-2</v>
      </c>
      <c r="Q8" s="39">
        <f t="shared" si="14"/>
        <v>-98.984751533072682</v>
      </c>
      <c r="R8">
        <f t="shared" si="3"/>
        <v>36.248140710232633</v>
      </c>
      <c r="S8">
        <f t="shared" si="1"/>
        <v>-2.7424121406718172E-6</v>
      </c>
      <c r="T8">
        <f t="shared" si="4"/>
        <v>1.5450399714820066E-2</v>
      </c>
      <c r="U8">
        <f t="shared" si="10"/>
        <v>-9.6724822374350802E-2</v>
      </c>
      <c r="V8">
        <f t="shared" si="5"/>
        <v>5.5027711342672814E-2</v>
      </c>
      <c r="W8">
        <f t="shared" si="6"/>
        <v>9.7716891618435998E-4</v>
      </c>
      <c r="X8">
        <f t="shared" si="7"/>
        <v>36.248140710232633</v>
      </c>
      <c r="Y8">
        <v>0</v>
      </c>
      <c r="Z8">
        <f t="shared" si="11"/>
        <v>1</v>
      </c>
      <c r="AA8">
        <f t="shared" si="8"/>
        <v>0.8402643774829287</v>
      </c>
      <c r="AB8">
        <f t="shared" si="9"/>
        <v>0.15973562251707124</v>
      </c>
      <c r="AD8">
        <f t="shared" si="12"/>
        <v>3.5275208915443179</v>
      </c>
      <c r="AF8">
        <f t="shared" si="13"/>
        <v>0.36092647003264727</v>
      </c>
    </row>
    <row r="9" spans="1:32" x14ac:dyDescent="0.2">
      <c r="A9" s="7">
        <v>-1.0025725197957018</v>
      </c>
      <c r="B9" s="7">
        <v>-4.9464982023008002</v>
      </c>
      <c r="C9" s="7">
        <v>1.0636424698054241</v>
      </c>
      <c r="D9" s="7">
        <v>5.1942664971413848E-3</v>
      </c>
      <c r="E9" s="7">
        <v>4.6322883019150901E-4</v>
      </c>
      <c r="F9" s="7">
        <v>1.0914843120808908E-3</v>
      </c>
      <c r="G9" s="7">
        <v>6.3959746835424015E-4</v>
      </c>
      <c r="H9" s="7">
        <v>2.3171092421312399E-2</v>
      </c>
      <c r="I9" s="7">
        <f t="shared" si="2"/>
        <v>1.0942021393345045</v>
      </c>
      <c r="J9" s="7">
        <f t="shared" si="0"/>
        <v>3.0559669529080423E-2</v>
      </c>
      <c r="K9" s="7">
        <v>-5.2613055647833136</v>
      </c>
      <c r="L9">
        <v>-2.5693429890381134E-2</v>
      </c>
      <c r="M9">
        <v>-2.291360575796202E-3</v>
      </c>
      <c r="N9">
        <v>-5.3990251875476519E-3</v>
      </c>
      <c r="O9">
        <v>-3.163767727410392E-3</v>
      </c>
      <c r="P9">
        <v>-0.11461576700736748</v>
      </c>
      <c r="Q9" s="39">
        <f t="shared" si="14"/>
        <v>-151.16335038850286</v>
      </c>
      <c r="R9">
        <f t="shared" si="3"/>
        <v>28.731148291465658</v>
      </c>
      <c r="S9">
        <f t="shared" si="1"/>
        <v>-4.1090228040479676E-6</v>
      </c>
      <c r="T9">
        <f t="shared" si="4"/>
        <v>3.3383815653724988E-2</v>
      </c>
      <c r="U9">
        <f t="shared" si="10"/>
        <v>-0.14799958266109248</v>
      </c>
      <c r="V9">
        <f t="shared" si="5"/>
        <v>5.1962212494573307E-2</v>
      </c>
      <c r="W9">
        <f t="shared" si="6"/>
        <v>9.7907053714224221E-4</v>
      </c>
      <c r="X9">
        <f t="shared" si="7"/>
        <v>28.731148291465658</v>
      </c>
      <c r="Y9">
        <v>0</v>
      </c>
      <c r="Z9">
        <f t="shared" si="11"/>
        <v>1</v>
      </c>
      <c r="AA9">
        <f t="shared" si="8"/>
        <v>0.774433041948697</v>
      </c>
      <c r="AB9">
        <f t="shared" si="9"/>
        <v>0.22556695805130295</v>
      </c>
      <c r="AD9">
        <f t="shared" si="12"/>
        <v>3.0559669529080424</v>
      </c>
      <c r="AF9">
        <f t="shared" si="13"/>
        <v>0.51942664971413843</v>
      </c>
    </row>
    <row r="10" spans="1:32" s="7" customFormat="1" x14ac:dyDescent="0.2">
      <c r="A10" s="7">
        <v>-1.0414620738888716</v>
      </c>
      <c r="B10" s="7">
        <v>-10.161433863234082</v>
      </c>
      <c r="C10" s="7">
        <v>1.006089049307608</v>
      </c>
      <c r="D10" s="7">
        <v>3.8668999513409908E-3</v>
      </c>
      <c r="E10" s="45">
        <v>2.2819854420518264E-4</v>
      </c>
      <c r="F10" s="45">
        <v>6.5507023098843986E-4</v>
      </c>
      <c r="G10" s="7">
        <v>2.5393808180990964E-4</v>
      </c>
      <c r="H10" s="7">
        <v>9.9433286461892995E-3</v>
      </c>
      <c r="I10" s="7">
        <f t="shared" si="2"/>
        <v>1.0210364847621418</v>
      </c>
      <c r="J10" s="7">
        <f t="shared" si="0"/>
        <v>1.4947435454533822E-2</v>
      </c>
      <c r="K10" s="7">
        <v>-10.223307335063312</v>
      </c>
      <c r="L10" s="7">
        <v>-3.9293248111294567E-2</v>
      </c>
      <c r="M10" s="7">
        <v>-2.3188244146272624E-3</v>
      </c>
      <c r="N10" s="7">
        <v>-6.6564528279625052E-3</v>
      </c>
      <c r="O10" s="7">
        <v>-2.5803750236679224E-3</v>
      </c>
      <c r="P10" s="7">
        <v>-0.10103847641865345</v>
      </c>
      <c r="Q10" s="39">
        <f t="shared" si="14"/>
        <v>-151.8873767962057</v>
      </c>
      <c r="R10">
        <f t="shared" si="3"/>
        <v>14.856970627819345</v>
      </c>
      <c r="S10">
        <f t="shared" si="1"/>
        <v>-3.9809984064981909E-6</v>
      </c>
      <c r="T10">
        <f t="shared" si="4"/>
        <v>4.8268525353884331E-2</v>
      </c>
      <c r="U10" s="7">
        <f t="shared" si="10"/>
        <v>-0.14930700177253778</v>
      </c>
      <c r="V10" s="7">
        <f t="shared" si="5"/>
        <v>6.0112902516542277E-2</v>
      </c>
      <c r="W10" s="7">
        <f t="shared" si="6"/>
        <v>9.830112608559293E-4</v>
      </c>
      <c r="X10" s="7">
        <f t="shared" si="7"/>
        <v>14.856970627819345</v>
      </c>
      <c r="Y10" s="7">
        <v>0</v>
      </c>
      <c r="Z10" s="7">
        <f t="shared" si="11"/>
        <v>1</v>
      </c>
      <c r="AA10" s="7">
        <f t="shared" si="8"/>
        <v>0.67671626393369555</v>
      </c>
      <c r="AB10" s="7">
        <f t="shared" si="9"/>
        <v>0.32328373606630428</v>
      </c>
      <c r="AD10">
        <f t="shared" si="12"/>
        <v>1.4947435454533822</v>
      </c>
      <c r="AF10">
        <f t="shared" si="13"/>
        <v>0.38668999513409907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J10"/>
  <sheetViews>
    <sheetView topLeftCell="A4" zoomScale="181" workbookViewId="0">
      <selection activeCell="M22" sqref="M22"/>
    </sheetView>
  </sheetViews>
  <sheetFormatPr baseColWidth="10" defaultColWidth="8.83203125" defaultRowHeight="15" x14ac:dyDescent="0.2"/>
  <cols>
    <col min="2" max="5" width="0" hidden="1" customWidth="1"/>
    <col min="8" max="8" width="12.6640625" bestFit="1" customWidth="1"/>
  </cols>
  <sheetData>
    <row r="1" spans="1:10" x14ac:dyDescent="0.2">
      <c r="A1" t="s">
        <v>10</v>
      </c>
      <c r="B1" t="s">
        <v>7</v>
      </c>
      <c r="C1" t="s">
        <v>8</v>
      </c>
      <c r="D1" t="s">
        <v>8</v>
      </c>
      <c r="F1" t="s">
        <v>7</v>
      </c>
      <c r="G1" t="s">
        <v>7</v>
      </c>
      <c r="H1" s="39" t="s">
        <v>7</v>
      </c>
    </row>
    <row r="2" spans="1:10" x14ac:dyDescent="0.2">
      <c r="B2" t="s">
        <v>2</v>
      </c>
      <c r="C2" t="s">
        <v>9</v>
      </c>
      <c r="D2" t="s">
        <v>9</v>
      </c>
      <c r="F2" t="s">
        <v>2</v>
      </c>
      <c r="G2" t="s">
        <v>2</v>
      </c>
      <c r="H2" s="39" t="s">
        <v>86</v>
      </c>
    </row>
    <row r="3" spans="1:10" x14ac:dyDescent="0.2">
      <c r="A3" t="s">
        <v>30</v>
      </c>
      <c r="C3" t="s">
        <v>4</v>
      </c>
      <c r="D3" t="s">
        <v>12</v>
      </c>
      <c r="F3" t="s">
        <v>4</v>
      </c>
      <c r="G3" t="s">
        <v>12</v>
      </c>
      <c r="H3" s="39" t="s">
        <v>87</v>
      </c>
      <c r="I3" t="s">
        <v>168</v>
      </c>
    </row>
    <row r="4" spans="1:10" x14ac:dyDescent="0.2">
      <c r="A4">
        <v>-0.20111000000000001</v>
      </c>
      <c r="B4">
        <f>-0.51036/4.5</f>
        <v>-0.11341333333333334</v>
      </c>
      <c r="C4">
        <v>1.0609500000000001</v>
      </c>
      <c r="F4">
        <f>C4*B4</f>
        <v>-0.12032587600000001</v>
      </c>
      <c r="H4" s="39"/>
    </row>
    <row r="5" spans="1:10" x14ac:dyDescent="0.2">
      <c r="A5">
        <v>-0.35</v>
      </c>
      <c r="B5">
        <f>-1.32653/4.5</f>
        <v>-0.29478444444444446</v>
      </c>
      <c r="C5">
        <v>1.02478</v>
      </c>
      <c r="F5">
        <f t="shared" ref="F5:F10" si="0">C5*B5</f>
        <v>-0.3020892029777778</v>
      </c>
      <c r="H5" s="39"/>
    </row>
    <row r="6" spans="1:10" x14ac:dyDescent="0.2">
      <c r="A6">
        <v>-0.41916999999999999</v>
      </c>
      <c r="B6">
        <f>-5.59794/4.5</f>
        <v>-1.2439866666666668</v>
      </c>
      <c r="C6">
        <v>0.99016999999999999</v>
      </c>
      <c r="F6">
        <f t="shared" si="0"/>
        <v>-1.2317582777333334</v>
      </c>
      <c r="H6" s="39"/>
    </row>
    <row r="7" spans="1:10" x14ac:dyDescent="0.2">
      <c r="A7">
        <v>-0.48243000000000003</v>
      </c>
      <c r="B7">
        <f>-14.29979/4.5</f>
        <v>-3.1777311111111111</v>
      </c>
      <c r="C7">
        <v>1.0729200000000001</v>
      </c>
      <c r="F7">
        <f t="shared" si="0"/>
        <v>-3.4094512637333336</v>
      </c>
      <c r="H7" s="39"/>
    </row>
    <row r="8" spans="1:10" x14ac:dyDescent="0.2">
      <c r="A8" s="47">
        <v>-0.54198000000000002</v>
      </c>
      <c r="B8">
        <f>-24.00657/4.5</f>
        <v>-5.3347933333333337</v>
      </c>
      <c r="C8">
        <v>0.98977999999999999</v>
      </c>
      <c r="D8" s="1">
        <v>9.7437799999999997E-5</v>
      </c>
      <c r="E8" s="1"/>
      <c r="F8">
        <f t="shared" si="0"/>
        <v>-5.280271745466667</v>
      </c>
      <c r="G8" s="1">
        <v>-5.1981063909922341E-4</v>
      </c>
      <c r="H8" s="48">
        <f>G8*1000</f>
        <v>-0.51981063909922343</v>
      </c>
      <c r="I8" s="1">
        <f t="shared" ref="I8:I10" si="1">100*G8/(G8+F8)</f>
        <v>9.8434227819162255E-3</v>
      </c>
      <c r="J8" s="1"/>
    </row>
    <row r="9" spans="1:10" s="7" customFormat="1" x14ac:dyDescent="0.2">
      <c r="A9" s="7">
        <v>-0.58291000000000004</v>
      </c>
      <c r="B9" s="7">
        <f>-51.87382/4.5</f>
        <v>-11.527515555555556</v>
      </c>
      <c r="C9" s="7">
        <v>1.06193</v>
      </c>
      <c r="D9" s="45">
        <v>4.2043799999999999E-5</v>
      </c>
      <c r="E9" s="45"/>
      <c r="F9" s="7">
        <f t="shared" si="0"/>
        <v>-12.241414593911113</v>
      </c>
      <c r="G9" s="45">
        <v>-4.8465998195053821E-4</v>
      </c>
      <c r="H9" s="44">
        <f t="shared" ref="H9:H10" si="2">G9*1000</f>
        <v>-0.48465998195053822</v>
      </c>
      <c r="I9" s="1">
        <f t="shared" si="1"/>
        <v>3.9590260620418916E-3</v>
      </c>
      <c r="J9" s="45"/>
    </row>
    <row r="10" spans="1:10" x14ac:dyDescent="0.2">
      <c r="A10">
        <v>-0.62629000000000001</v>
      </c>
      <c r="B10">
        <f>-77.26415/4.5</f>
        <v>-17.169811111111112</v>
      </c>
      <c r="C10">
        <v>0.97975999999999996</v>
      </c>
      <c r="D10" s="1">
        <v>3.8001599999999999E-5</v>
      </c>
      <c r="E10" s="1"/>
      <c r="F10">
        <f t="shared" si="0"/>
        <v>-16.822294134222222</v>
      </c>
      <c r="G10" s="1">
        <v>-6.5247975680279434E-4</v>
      </c>
      <c r="H10" s="44">
        <f t="shared" si="2"/>
        <v>-0.65247975680279435</v>
      </c>
      <c r="I10" s="1">
        <f t="shared" si="1"/>
        <v>3.878510535488571E-3</v>
      </c>
      <c r="J1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Au</vt:lpstr>
      <vt:lpstr>Cu</vt:lpstr>
      <vt:lpstr>Sheet2</vt:lpstr>
      <vt:lpstr>Ag</vt:lpstr>
      <vt:lpstr>Zn</vt:lpstr>
      <vt:lpstr>Pt</vt:lpstr>
      <vt:lpstr>Ni</vt:lpstr>
      <vt:lpstr>Fe</vt:lpstr>
      <vt:lpstr>Sheet1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</dc:creator>
  <cp:lastModifiedBy>Microsoft Office User</cp:lastModifiedBy>
  <dcterms:created xsi:type="dcterms:W3CDTF">2012-06-19T01:32:01Z</dcterms:created>
  <dcterms:modified xsi:type="dcterms:W3CDTF">2018-01-19T00:37:46Z</dcterms:modified>
</cp:coreProperties>
</file>