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sur\Desktop\Enterprenauership Course\"/>
    </mc:Choice>
  </mc:AlternateContent>
  <xr:revisionPtr revIDLastSave="0" documentId="13_ncr:1_{C76AABAB-A48F-401E-BD2D-CAA0FE758F4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ffee Machine NPV Model" sheetId="2" r:id="rId1"/>
  </sheets>
  <definedNames>
    <definedName name="_xlnm.Print_Area" localSheetId="0">'Coffee Machine NPV Model'!$A$1:$S$28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2" l="1"/>
  <c r="G7" i="2" s="1"/>
  <c r="G8" i="2"/>
  <c r="K8" i="2" s="1"/>
  <c r="G10" i="2"/>
  <c r="G9" i="2" s="1"/>
  <c r="G11" i="2"/>
  <c r="G13" i="2"/>
  <c r="G12" i="2" s="1"/>
  <c r="G18" i="2"/>
  <c r="G19" i="2"/>
  <c r="G21" i="2"/>
  <c r="G22" i="2"/>
  <c r="H10" i="2"/>
  <c r="H11" i="2"/>
  <c r="I11" i="2" s="1"/>
  <c r="H9" i="2"/>
  <c r="H13" i="2"/>
  <c r="H12" i="2" s="1"/>
  <c r="H19" i="2"/>
  <c r="H21" i="2"/>
  <c r="H22" i="2"/>
  <c r="I10" i="2"/>
  <c r="I21" i="2" s="1"/>
  <c r="I13" i="2"/>
  <c r="I12" i="2"/>
  <c r="I19" i="2"/>
  <c r="I22" i="2"/>
  <c r="J7" i="2"/>
  <c r="J20" i="2" s="1"/>
  <c r="J23" i="2" s="1"/>
  <c r="J10" i="2"/>
  <c r="J13" i="2"/>
  <c r="J12" i="2" s="1"/>
  <c r="J19" i="2"/>
  <c r="J21" i="2"/>
  <c r="J22" i="2"/>
  <c r="K10" i="2"/>
  <c r="K11" i="2"/>
  <c r="O11" i="2" s="1"/>
  <c r="K13" i="2"/>
  <c r="K12" i="2"/>
  <c r="K19" i="2"/>
  <c r="K21" i="2"/>
  <c r="K22" i="2"/>
  <c r="L10" i="2"/>
  <c r="L21" i="2" s="1"/>
  <c r="L13" i="2"/>
  <c r="L12" i="2" s="1"/>
  <c r="L19" i="2"/>
  <c r="L22" i="2"/>
  <c r="M10" i="2"/>
  <c r="M21" i="2" s="1"/>
  <c r="M13" i="2"/>
  <c r="M12" i="2"/>
  <c r="M19" i="2"/>
  <c r="M22" i="2"/>
  <c r="N10" i="2"/>
  <c r="N21" i="2" s="1"/>
  <c r="N13" i="2"/>
  <c r="N12" i="2" s="1"/>
  <c r="N19" i="2"/>
  <c r="N22" i="2"/>
  <c r="O10" i="2"/>
  <c r="O21" i="2" s="1"/>
  <c r="O13" i="2"/>
  <c r="O12" i="2" s="1"/>
  <c r="O19" i="2"/>
  <c r="O22" i="2"/>
  <c r="P10" i="2"/>
  <c r="P13" i="2"/>
  <c r="P12" i="2"/>
  <c r="P19" i="2"/>
  <c r="P22" i="2"/>
  <c r="Q10" i="2"/>
  <c r="Q21" i="2" s="1"/>
  <c r="Q13" i="2"/>
  <c r="Q12" i="2"/>
  <c r="Q19" i="2"/>
  <c r="Q22" i="2"/>
  <c r="R10" i="2"/>
  <c r="R13" i="2"/>
  <c r="R12" i="2"/>
  <c r="R19" i="2"/>
  <c r="R21" i="2"/>
  <c r="R22" i="2"/>
  <c r="C16" i="2"/>
  <c r="C23" i="2"/>
  <c r="C25" i="2" s="1"/>
  <c r="C26" i="2" s="1"/>
  <c r="D16" i="2"/>
  <c r="D23" i="2" s="1"/>
  <c r="D25" i="2" s="1"/>
  <c r="D26" i="2" s="1"/>
  <c r="E16" i="2"/>
  <c r="E17" i="2"/>
  <c r="F16" i="2"/>
  <c r="F17" i="2"/>
  <c r="F18" i="2"/>
  <c r="F19" i="2"/>
  <c r="I71" i="2"/>
  <c r="J71" i="2" s="1"/>
  <c r="I68" i="2"/>
  <c r="J68" i="2" s="1"/>
  <c r="I60" i="2"/>
  <c r="J60" i="2"/>
  <c r="I61" i="2"/>
  <c r="J61" i="2" s="1"/>
  <c r="I62" i="2"/>
  <c r="J62" i="2" s="1"/>
  <c r="I63" i="2"/>
  <c r="J63" i="2" s="1"/>
  <c r="I64" i="2"/>
  <c r="J64" i="2"/>
  <c r="I65" i="2"/>
  <c r="J65" i="2"/>
  <c r="I66" i="2"/>
  <c r="J66" i="2" s="1"/>
  <c r="I67" i="2"/>
  <c r="J67" i="2" s="1"/>
  <c r="I69" i="2"/>
  <c r="J69" i="2" s="1"/>
  <c r="I70" i="2"/>
  <c r="J70" i="2" s="1"/>
  <c r="I72" i="2"/>
  <c r="J72" i="2" s="1"/>
  <c r="I73" i="2"/>
  <c r="J73" i="2" s="1"/>
  <c r="I74" i="2"/>
  <c r="J74" i="2"/>
  <c r="I75" i="2"/>
  <c r="J75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F71" i="2"/>
  <c r="G71" i="2" s="1"/>
  <c r="F75" i="2"/>
  <c r="G75" i="2" s="1"/>
  <c r="F74" i="2"/>
  <c r="G74" i="2" s="1"/>
  <c r="F73" i="2"/>
  <c r="G73" i="2" s="1"/>
  <c r="F72" i="2"/>
  <c r="G72" i="2" s="1"/>
  <c r="F70" i="2"/>
  <c r="G70" i="2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L8" i="2" l="1"/>
  <c r="M8" i="2" s="1"/>
  <c r="N8" i="2" s="1"/>
  <c r="N6" i="2" s="1"/>
  <c r="O8" i="2"/>
  <c r="P8" i="2" s="1"/>
  <c r="Q8" i="2" s="1"/>
  <c r="R8" i="2" s="1"/>
  <c r="N7" i="2"/>
  <c r="E23" i="2"/>
  <c r="E25" i="2" s="1"/>
  <c r="E26" i="2" s="1"/>
  <c r="H8" i="2"/>
  <c r="I8" i="2" s="1"/>
  <c r="J8" i="2" s="1"/>
  <c r="J6" i="2" s="1"/>
  <c r="I7" i="2"/>
  <c r="O9" i="2"/>
  <c r="P11" i="2"/>
  <c r="Q11" i="2" s="1"/>
  <c r="J11" i="2"/>
  <c r="I9" i="2"/>
  <c r="J9" i="2"/>
  <c r="J14" i="2"/>
  <c r="J25" i="2" s="1"/>
  <c r="J26" i="2" s="1"/>
  <c r="P21" i="2"/>
  <c r="L11" i="2"/>
  <c r="M11" i="2" s="1"/>
  <c r="K9" i="2"/>
  <c r="F23" i="2"/>
  <c r="F25" i="2" s="1"/>
  <c r="F26" i="2" s="1"/>
  <c r="H7" i="2"/>
  <c r="G6" i="2"/>
  <c r="G14" i="2" s="1"/>
  <c r="K7" i="2"/>
  <c r="G20" i="2"/>
  <c r="G23" i="2" s="1"/>
  <c r="I6" i="2" l="1"/>
  <c r="I14" i="2" s="1"/>
  <c r="I20" i="2"/>
  <c r="I23" i="2" s="1"/>
  <c r="M7" i="2"/>
  <c r="R7" i="2"/>
  <c r="R20" i="2" s="1"/>
  <c r="R23" i="2" s="1"/>
  <c r="N20" i="2"/>
  <c r="N23" i="2" s="1"/>
  <c r="P9" i="2"/>
  <c r="M9" i="2"/>
  <c r="N11" i="2"/>
  <c r="N9" i="2" s="1"/>
  <c r="N14" i="2" s="1"/>
  <c r="L9" i="2"/>
  <c r="L7" i="2"/>
  <c r="H20" i="2"/>
  <c r="H23" i="2" s="1"/>
  <c r="H6" i="2"/>
  <c r="H14" i="2" s="1"/>
  <c r="R11" i="2"/>
  <c r="R9" i="2" s="1"/>
  <c r="Q9" i="2"/>
  <c r="O7" i="2"/>
  <c r="K6" i="2"/>
  <c r="K14" i="2" s="1"/>
  <c r="K20" i="2"/>
  <c r="K23" i="2" s="1"/>
  <c r="G25" i="2"/>
  <c r="G26" i="2" s="1"/>
  <c r="M6" i="2" l="1"/>
  <c r="M14" i="2" s="1"/>
  <c r="M25" i="2" s="1"/>
  <c r="M26" i="2" s="1"/>
  <c r="Q7" i="2"/>
  <c r="M20" i="2"/>
  <c r="M23" i="2" s="1"/>
  <c r="H25" i="2"/>
  <c r="H26" i="2" s="1"/>
  <c r="I25" i="2"/>
  <c r="I26" i="2" s="1"/>
  <c r="N25" i="2"/>
  <c r="N26" i="2" s="1"/>
  <c r="R6" i="2"/>
  <c r="R14" i="2" s="1"/>
  <c r="R25" i="2" s="1"/>
  <c r="R26" i="2" s="1"/>
  <c r="P7" i="2"/>
  <c r="L6" i="2"/>
  <c r="L14" i="2" s="1"/>
  <c r="L20" i="2"/>
  <c r="L23" i="2" s="1"/>
  <c r="K25" i="2"/>
  <c r="K26" i="2" s="1"/>
  <c r="O6" i="2"/>
  <c r="O14" i="2" s="1"/>
  <c r="O20" i="2"/>
  <c r="O23" i="2" s="1"/>
  <c r="Q20" i="2" l="1"/>
  <c r="Q23" i="2" s="1"/>
  <c r="Q6" i="2"/>
  <c r="Q14" i="2" s="1"/>
  <c r="Q25" i="2" s="1"/>
  <c r="Q26" i="2" s="1"/>
  <c r="P6" i="2"/>
  <c r="P14" i="2" s="1"/>
  <c r="P20" i="2"/>
  <c r="P23" i="2" s="1"/>
  <c r="L25" i="2"/>
  <c r="L26" i="2" s="1"/>
  <c r="O25" i="2"/>
  <c r="O26" i="2" s="1"/>
  <c r="P25" i="2" l="1"/>
  <c r="P26" i="2" s="1"/>
  <c r="C27" i="2" s="1"/>
  <c r="E29" i="2" s="1"/>
  <c r="D29" i="2" l="1"/>
</calcChain>
</file>

<file path=xl/sharedStrings.xml><?xml version="1.0" encoding="utf-8"?>
<sst xmlns="http://schemas.openxmlformats.org/spreadsheetml/2006/main" count="206" uniqueCount="146">
  <si>
    <t>Year 1</t>
  </si>
  <si>
    <t>Year 2</t>
  </si>
  <si>
    <t>Year 3</t>
  </si>
  <si>
    <t>Year 4</t>
  </si>
  <si>
    <t>Q1</t>
  </si>
  <si>
    <t>Q2</t>
  </si>
  <si>
    <t>Q3</t>
  </si>
  <si>
    <t>Q4</t>
  </si>
  <si>
    <t xml:space="preserve"> </t>
  </si>
  <si>
    <t xml:space="preserve">Total Costs </t>
  </si>
  <si>
    <t>Period Cash Flow</t>
  </si>
  <si>
    <t>Discounting Period</t>
  </si>
  <si>
    <t>Net Present Value</t>
  </si>
  <si>
    <t>per unit</t>
  </si>
  <si>
    <t>units/year</t>
  </si>
  <si>
    <t>capsules/machine each year</t>
  </si>
  <si>
    <t xml:space="preserve">Total Revenue </t>
  </si>
  <si>
    <t>Recycling Recovery Value</t>
  </si>
  <si>
    <t>Discount Rate</t>
  </si>
  <si>
    <t>Period Present Value</t>
  </si>
  <si>
    <t>Base</t>
  </si>
  <si>
    <t>Worst</t>
  </si>
  <si>
    <t>Best</t>
  </si>
  <si>
    <t>Model Inputs</t>
  </si>
  <si>
    <t>Model Values</t>
  </si>
  <si>
    <t>(1g Al @ $1/kg)</t>
  </si>
  <si>
    <t>Distributor + Retail Margin</t>
  </si>
  <si>
    <t>Uncertainty of Model Values</t>
  </si>
  <si>
    <t>Machines only</t>
  </si>
  <si>
    <t>with Capsules</t>
  </si>
  <si>
    <t>with Recycling</t>
  </si>
  <si>
    <t>Equipment and Tooling</t>
  </si>
  <si>
    <t>Production Overhead</t>
  </si>
  <si>
    <t>$M over 1 year</t>
  </si>
  <si>
    <t>$M over 1/2 year</t>
  </si>
  <si>
    <t>$M/year</t>
  </si>
  <si>
    <t>Product Development</t>
  </si>
  <si>
    <t>Production Ramp-up</t>
  </si>
  <si>
    <t>Marketing and Support</t>
  </si>
  <si>
    <t>Market Launch</t>
  </si>
  <si>
    <t>per year</t>
  </si>
  <si>
    <t>Initial Retail Price, capsules</t>
  </si>
  <si>
    <t>Retail Price Growth, capsules</t>
  </si>
  <si>
    <t>Sales Volume, capsules</t>
  </si>
  <si>
    <t>Quarterly Sales Profile, machines</t>
  </si>
  <si>
    <t>Sales Volume Growth, machines</t>
  </si>
  <si>
    <t>Initial Sales Volume, machines</t>
  </si>
  <si>
    <t>Initial Retail Price, machines</t>
  </si>
  <si>
    <t>Retail Price Growth, machines</t>
  </si>
  <si>
    <t>Production Cost, machines</t>
  </si>
  <si>
    <t>Production Cost, capsules</t>
  </si>
  <si>
    <t>Recycling Rate, capsules</t>
  </si>
  <si>
    <t>Recycling Overhead</t>
  </si>
  <si>
    <t>Recycling Cost, capsules</t>
  </si>
  <si>
    <t>Production, machines</t>
  </si>
  <si>
    <t>Production, capsules</t>
  </si>
  <si>
    <t>Recycling, capsules</t>
  </si>
  <si>
    <t>Sales, machines</t>
  </si>
  <si>
    <t>Sales, capsules</t>
  </si>
  <si>
    <t>Recycling Recovery</t>
  </si>
  <si>
    <t>Sensitivity Analysis for Ranges of Model Values</t>
  </si>
  <si>
    <t>Base NPV $13.1M</t>
  </si>
  <si>
    <t>Base NPV $125.5M</t>
  </si>
  <si>
    <t>Base NPV $123.7M</t>
  </si>
  <si>
    <t>For sensitivity analysis</t>
  </si>
  <si>
    <t>Base-Case</t>
  </si>
  <si>
    <t>Worst-Case Analysis</t>
  </si>
  <si>
    <t>Best-Case Analysis</t>
  </si>
  <si>
    <t>Model Parameter</t>
  </si>
  <si>
    <t>Value</t>
  </si>
  <si>
    <t>% ∆ NPV</t>
  </si>
  <si>
    <t>Product development</t>
  </si>
  <si>
    <t>$5M</t>
  </si>
  <si>
    <t>Equipment and tooling</t>
  </si>
  <si>
    <t>$4M</t>
  </si>
  <si>
    <t>Production ramp-up</t>
  </si>
  <si>
    <t>$2M</t>
  </si>
  <si>
    <t>Market launch</t>
  </si>
  <si>
    <t>$10M</t>
  </si>
  <si>
    <t>Marketing and support</t>
  </si>
  <si>
    <t>$5M/year</t>
  </si>
  <si>
    <t>$55/unit</t>
  </si>
  <si>
    <t>Production overhead</t>
  </si>
  <si>
    <t>$1M/year</t>
  </si>
  <si>
    <t>200K units/year</t>
  </si>
  <si>
    <t>15%/year</t>
  </si>
  <si>
    <t>$260/unit</t>
  </si>
  <si>
    <t>Distributor and retail margin</t>
  </si>
  <si>
    <t>40% combined</t>
  </si>
  <si>
    <t>-10%/year</t>
  </si>
  <si>
    <t>$7M</t>
  </si>
  <si>
    <t>$2.5M</t>
  </si>
  <si>
    <t>$15M</t>
  </si>
  <si>
    <t>$6M</t>
  </si>
  <si>
    <t>$1.2M</t>
  </si>
  <si>
    <t>$3M</t>
  </si>
  <si>
    <t>$1.5M</t>
  </si>
  <si>
    <t>$8M</t>
  </si>
  <si>
    <t>Initial sales volume, machines</t>
  </si>
  <si>
    <t>Sales volume growth, machines</t>
  </si>
  <si>
    <t>Initial retail sale price, machines</t>
  </si>
  <si>
    <t>Retail price growth, machines</t>
  </si>
  <si>
    <t>Sales volume, capsules per machine</t>
  </si>
  <si>
    <t>400/year</t>
  </si>
  <si>
    <t>Initial retail price, capsules</t>
  </si>
  <si>
    <t>$0.60/unit</t>
  </si>
  <si>
    <t>Retail price growth, capsules</t>
  </si>
  <si>
    <t>5%/year</t>
  </si>
  <si>
    <t>$0.8M</t>
  </si>
  <si>
    <t>100K</t>
  </si>
  <si>
    <t>250K</t>
  </si>
  <si>
    <t>NPV, $M</t>
  </si>
  <si>
    <t>Base NPV</t>
  </si>
  <si>
    <t>Low NPV, $M</t>
  </si>
  <si>
    <t>High NPV, $M</t>
  </si>
  <si>
    <t>6) Select and delete the legend.</t>
  </si>
  <si>
    <t>7) Select Chart Layout to add axis, chart, and data labels, if desired.</t>
  </si>
  <si>
    <t>Instructions for Tornado Chart (saved as a template)</t>
  </si>
  <si>
    <t>a. At "Vertical axis crosses", insert Baseline NPV value.</t>
  </si>
  <si>
    <t>b. Change min, max, and major units if necessary.</t>
  </si>
  <si>
    <t>b. Increase "Label Distance from Axis" to make room for data labels.</t>
  </si>
  <si>
    <t>c. Mark Axis Label as "Low" to move the criteria to the left side.</t>
  </si>
  <si>
    <t>d. Remove tick marks.</t>
  </si>
  <si>
    <t>2) Format the Y Axis:</t>
  </si>
  <si>
    <t>3) Format the X Axis:</t>
  </si>
  <si>
    <t>4) Format major gridlines: Color "No line".</t>
  </si>
  <si>
    <t>5) Format the Data Series:</t>
  </si>
  <si>
    <t xml:space="preserve">a. Under Options, Series Overlap, enter 100% Overlapped. </t>
  </si>
  <si>
    <t xml:space="preserve">b. Change to 50% Gap Width to make larger bars.  </t>
  </si>
  <si>
    <t>c. Remove shadows on both series.</t>
  </si>
  <si>
    <t>1) Select data and plot a Clustered Bar chart.</t>
  </si>
  <si>
    <t>a. Choose "Categories in Reverse Order".</t>
  </si>
  <si>
    <t>Production direct cost, machines</t>
  </si>
  <si>
    <t>Production cost, capsules</t>
  </si>
  <si>
    <t>$0.050/unit</t>
  </si>
  <si>
    <t>NPV RANGE</t>
  </si>
  <si>
    <t xml:space="preserve">     Sales Volume, machines (units/qtr)</t>
  </si>
  <si>
    <t xml:space="preserve">     Unit Wholesale Revenue, machines ($/unit)</t>
  </si>
  <si>
    <t xml:space="preserve">     Sales Volume, capsules (units/qtr)</t>
  </si>
  <si>
    <t xml:space="preserve">     Unit Wholesale Revenue, capsules ($/unit)</t>
  </si>
  <si>
    <t xml:space="preserve">     Recycling Volume, capsules (units/qtr)</t>
  </si>
  <si>
    <r>
      <t xml:space="preserve">Values in $M </t>
    </r>
    <r>
      <rPr>
        <b/>
        <i/>
        <sz val="10"/>
        <rFont val="Arial"/>
        <family val="2"/>
      </rPr>
      <t>(except where noted)</t>
    </r>
  </si>
  <si>
    <t>Data for Tornado Chart (w/ capsules)</t>
  </si>
  <si>
    <t>Sensitivity Analysis (w/ capsules)</t>
  </si>
  <si>
    <t>million</t>
  </si>
  <si>
    <t xml:space="preserve">Data for the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</si>
</sst>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&quot;$&quot;#,##0.000_);[Red]\(&quot;$&quot;#,##0.000\)"/>
    <numFmt numFmtId="170" formatCode="0.000"/>
    <numFmt numFmtId="171" formatCode="&quot;$&quot;#,##0.0000_);[Red]\(&quot;$&quot;#,##0.0000\)"/>
    <numFmt numFmtId="172" formatCode="0.0%"/>
    <numFmt numFmtId="173" formatCode="&quot;$&quot;#,##0.0"/>
  </numFmts>
  <fonts count="3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2"/>
      <color theme="1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2"/>
      <name val="Arial"/>
      <family val="2"/>
    </font>
    <font>
      <b/>
      <u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2"/>
      <color rgb="FF008000"/>
      <name val="Arial"/>
      <family val="2"/>
    </font>
    <font>
      <b/>
      <sz val="12"/>
      <color rgb="FF008000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Geneva"/>
    </font>
    <font>
      <b/>
      <sz val="14"/>
      <color theme="1"/>
      <name val="Arial"/>
      <family val="2"/>
    </font>
    <font>
      <sz val="12"/>
      <color theme="9" tint="0.79998168889431442"/>
      <name val="Arial"/>
      <family val="2"/>
    </font>
    <font>
      <sz val="12"/>
      <color theme="7" tint="0.79998168889431442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Arial"/>
      <family val="2"/>
    </font>
    <font>
      <i/>
      <u/>
      <sz val="12"/>
      <color theme="1"/>
      <name val="Arial"/>
      <family val="2"/>
    </font>
    <font>
      <i/>
      <sz val="10"/>
      <color theme="1"/>
      <name val="Arial"/>
      <family val="2"/>
    </font>
    <font>
      <i/>
      <sz val="12"/>
      <name val="Arial"/>
      <family val="2"/>
    </font>
    <font>
      <b/>
      <i/>
      <sz val="10"/>
      <color theme="1"/>
      <name val="Arial"/>
      <family val="2"/>
    </font>
    <font>
      <i/>
      <u/>
      <sz val="10"/>
      <color theme="1"/>
      <name val="Arial"/>
      <family val="2"/>
    </font>
    <font>
      <b/>
      <i/>
      <sz val="1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90">
    <xf numFmtId="0" fontId="0" fillId="0" borderId="0"/>
    <xf numFmtId="167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0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2" fontId="6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169" fontId="5" fillId="2" borderId="0" xfId="0" applyNumberFormat="1" applyFont="1" applyFill="1" applyAlignment="1">
      <alignment vertical="center"/>
    </xf>
    <xf numFmtId="171" fontId="5" fillId="2" borderId="0" xfId="0" applyNumberFormat="1" applyFont="1" applyFill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right" vertical="center"/>
    </xf>
    <xf numFmtId="0" fontId="15" fillId="2" borderId="8" xfId="0" applyFont="1" applyFill="1" applyBorder="1" applyAlignment="1">
      <alignment horizontal="right" vertical="center"/>
    </xf>
    <xf numFmtId="168" fontId="14" fillId="2" borderId="7" xfId="0" applyNumberFormat="1" applyFont="1" applyFill="1" applyBorder="1" applyAlignment="1">
      <alignment vertical="center"/>
    </xf>
    <xf numFmtId="168" fontId="16" fillId="2" borderId="8" xfId="0" applyNumberFormat="1" applyFont="1" applyFill="1" applyBorder="1" applyAlignment="1">
      <alignment vertical="center"/>
    </xf>
    <xf numFmtId="168" fontId="14" fillId="2" borderId="9" xfId="0" applyNumberFormat="1" applyFont="1" applyFill="1" applyBorder="1" applyAlignment="1">
      <alignment vertical="center"/>
    </xf>
    <xf numFmtId="168" fontId="16" fillId="2" borderId="10" xfId="0" applyNumberFormat="1" applyFont="1" applyFill="1" applyBorder="1" applyAlignment="1">
      <alignment vertical="center"/>
    </xf>
    <xf numFmtId="0" fontId="9" fillId="2" borderId="7" xfId="0" applyFont="1" applyFill="1" applyBorder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0" fontId="17" fillId="0" borderId="0" xfId="0" applyFont="1" applyAlignment="1">
      <alignment horizontal="left" vertical="center"/>
    </xf>
    <xf numFmtId="9" fontId="8" fillId="3" borderId="7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164" fontId="8" fillId="3" borderId="7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8" xfId="0" applyFont="1" applyFill="1" applyBorder="1" applyAlignment="1">
      <alignment vertical="center"/>
    </xf>
    <xf numFmtId="9" fontId="14" fillId="3" borderId="0" xfId="0" applyNumberFormat="1" applyFont="1" applyFill="1" applyAlignment="1">
      <alignment vertical="center"/>
    </xf>
    <xf numFmtId="9" fontId="16" fillId="3" borderId="8" xfId="0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3" borderId="8" xfId="0" applyFont="1" applyFill="1" applyBorder="1" applyAlignment="1">
      <alignment vertical="center"/>
    </xf>
    <xf numFmtId="164" fontId="14" fillId="3" borderId="0" xfId="0" applyNumberFormat="1" applyFont="1" applyFill="1" applyAlignment="1">
      <alignment vertical="center"/>
    </xf>
    <xf numFmtId="164" fontId="16" fillId="3" borderId="8" xfId="0" applyNumberFormat="1" applyFont="1" applyFill="1" applyBorder="1" applyAlignment="1">
      <alignment vertical="center"/>
    </xf>
    <xf numFmtId="168" fontId="14" fillId="3" borderId="7" xfId="0" applyNumberFormat="1" applyFont="1" applyFill="1" applyBorder="1" applyAlignment="1">
      <alignment vertical="center"/>
    </xf>
    <xf numFmtId="168" fontId="16" fillId="3" borderId="8" xfId="0" applyNumberFormat="1" applyFont="1" applyFill="1" applyBorder="1" applyAlignment="1">
      <alignment vertical="center"/>
    </xf>
    <xf numFmtId="164" fontId="4" fillId="3" borderId="7" xfId="0" applyNumberFormat="1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8" xfId="0" applyFont="1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16" fillId="5" borderId="8" xfId="0" applyFont="1" applyFill="1" applyBorder="1" applyAlignment="1">
      <alignment vertical="center"/>
    </xf>
    <xf numFmtId="168" fontId="14" fillId="5" borderId="7" xfId="0" applyNumberFormat="1" applyFont="1" applyFill="1" applyBorder="1" applyAlignment="1">
      <alignment vertical="center"/>
    </xf>
    <xf numFmtId="168" fontId="16" fillId="5" borderId="8" xfId="0" applyNumberFormat="1" applyFont="1" applyFill="1" applyBorder="1" applyAlignment="1">
      <alignment vertical="center"/>
    </xf>
    <xf numFmtId="165" fontId="4" fillId="5" borderId="7" xfId="0" applyNumberFormat="1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8" xfId="0" applyFont="1" applyFill="1" applyBorder="1" applyAlignment="1">
      <alignment vertical="center"/>
    </xf>
    <xf numFmtId="165" fontId="14" fillId="5" borderId="0" xfId="0" applyNumberFormat="1" applyFont="1" applyFill="1" applyAlignment="1">
      <alignment vertical="center"/>
    </xf>
    <xf numFmtId="165" fontId="16" fillId="5" borderId="8" xfId="0" applyNumberFormat="1" applyFont="1" applyFill="1" applyBorder="1" applyAlignment="1">
      <alignment vertical="center"/>
    </xf>
    <xf numFmtId="9" fontId="8" fillId="5" borderId="7" xfId="0" applyNumberFormat="1" applyFont="1" applyFill="1" applyBorder="1" applyAlignment="1">
      <alignment vertical="center"/>
    </xf>
    <xf numFmtId="9" fontId="14" fillId="5" borderId="0" xfId="0" applyNumberFormat="1" applyFont="1" applyFill="1" applyAlignment="1">
      <alignment vertical="center"/>
    </xf>
    <xf numFmtId="9" fontId="16" fillId="5" borderId="8" xfId="0" applyNumberFormat="1" applyFont="1" applyFill="1" applyBorder="1" applyAlignment="1">
      <alignment vertical="center"/>
    </xf>
    <xf numFmtId="169" fontId="4" fillId="5" borderId="0" xfId="0" applyNumberFormat="1" applyFont="1" applyFill="1" applyAlignment="1">
      <alignment vertical="center"/>
    </xf>
    <xf numFmtId="169" fontId="3" fillId="5" borderId="0" xfId="0" applyNumberFormat="1" applyFont="1" applyFill="1" applyAlignment="1">
      <alignment vertical="center"/>
    </xf>
    <xf numFmtId="169" fontId="3" fillId="5" borderId="8" xfId="0" applyNumberFormat="1" applyFont="1" applyFill="1" applyBorder="1" applyAlignment="1">
      <alignment vertical="center"/>
    </xf>
    <xf numFmtId="0" fontId="0" fillId="2" borderId="0" xfId="0" applyFill="1"/>
    <xf numFmtId="2" fontId="6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68" fontId="4" fillId="2" borderId="0" xfId="0" applyNumberFormat="1" applyFont="1" applyFill="1" applyAlignment="1">
      <alignment horizontal="center" vertical="center"/>
    </xf>
    <xf numFmtId="9" fontId="8" fillId="6" borderId="7" xfId="0" applyNumberFormat="1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165" fontId="8" fillId="6" borderId="8" xfId="0" applyNumberFormat="1" applyFont="1" applyFill="1" applyBorder="1" applyAlignment="1">
      <alignment vertical="center"/>
    </xf>
    <xf numFmtId="169" fontId="4" fillId="6" borderId="0" xfId="0" applyNumberFormat="1" applyFont="1" applyFill="1" applyAlignment="1">
      <alignment vertical="center"/>
    </xf>
    <xf numFmtId="169" fontId="3" fillId="6" borderId="0" xfId="0" applyNumberFormat="1" applyFont="1" applyFill="1" applyAlignment="1">
      <alignment vertical="center"/>
    </xf>
    <xf numFmtId="169" fontId="3" fillId="6" borderId="8" xfId="0" applyNumberFormat="1" applyFont="1" applyFill="1" applyBorder="1" applyAlignment="1">
      <alignment vertical="center"/>
    </xf>
    <xf numFmtId="171" fontId="4" fillId="6" borderId="0" xfId="0" applyNumberFormat="1" applyFont="1" applyFill="1" applyAlignment="1">
      <alignment vertical="center"/>
    </xf>
    <xf numFmtId="171" fontId="3" fillId="6" borderId="0" xfId="0" applyNumberFormat="1" applyFont="1" applyFill="1" applyAlignment="1">
      <alignment vertical="center"/>
    </xf>
    <xf numFmtId="171" fontId="3" fillId="6" borderId="8" xfId="0" applyNumberFormat="1" applyFont="1" applyFill="1" applyBorder="1" applyAlignment="1">
      <alignment vertical="center"/>
    </xf>
    <xf numFmtId="9" fontId="14" fillId="6" borderId="0" xfId="0" applyNumberFormat="1" applyFont="1" applyFill="1" applyAlignment="1">
      <alignment vertical="center"/>
    </xf>
    <xf numFmtId="9" fontId="16" fillId="6" borderId="8" xfId="0" applyNumberFormat="1" applyFont="1" applyFill="1" applyBorder="1" applyAlignment="1">
      <alignment vertical="center"/>
    </xf>
    <xf numFmtId="169" fontId="8" fillId="6" borderId="7" xfId="0" applyNumberFormat="1" applyFont="1" applyFill="1" applyBorder="1" applyAlignment="1">
      <alignment vertical="center"/>
    </xf>
    <xf numFmtId="169" fontId="14" fillId="6" borderId="0" xfId="0" applyNumberFormat="1" applyFont="1" applyFill="1" applyAlignment="1">
      <alignment vertical="center"/>
    </xf>
    <xf numFmtId="169" fontId="16" fillId="6" borderId="8" xfId="0" applyNumberFormat="1" applyFont="1" applyFill="1" applyBorder="1" applyAlignment="1">
      <alignment vertical="center"/>
    </xf>
    <xf numFmtId="171" fontId="8" fillId="6" borderId="9" xfId="0" applyNumberFormat="1" applyFont="1" applyFill="1" applyBorder="1" applyAlignment="1">
      <alignment vertical="center"/>
    </xf>
    <xf numFmtId="171" fontId="14" fillId="6" borderId="12" xfId="0" applyNumberFormat="1" applyFont="1" applyFill="1" applyBorder="1" applyAlignment="1">
      <alignment vertical="center"/>
    </xf>
    <xf numFmtId="171" fontId="16" fillId="6" borderId="10" xfId="0" applyNumberFormat="1" applyFont="1" applyFill="1" applyBorder="1" applyAlignment="1">
      <alignment vertical="center"/>
    </xf>
    <xf numFmtId="168" fontId="14" fillId="6" borderId="7" xfId="0" applyNumberFormat="1" applyFont="1" applyFill="1" applyBorder="1" applyAlignment="1">
      <alignment vertical="center"/>
    </xf>
    <xf numFmtId="168" fontId="16" fillId="6" borderId="8" xfId="0" applyNumberFormat="1" applyFont="1" applyFill="1" applyBorder="1" applyAlignment="1">
      <alignment vertical="center"/>
    </xf>
    <xf numFmtId="168" fontId="14" fillId="6" borderId="9" xfId="0" applyNumberFormat="1" applyFont="1" applyFill="1" applyBorder="1" applyAlignment="1">
      <alignment vertical="center"/>
    </xf>
    <xf numFmtId="168" fontId="16" fillId="6" borderId="10" xfId="0" applyNumberFormat="1" applyFont="1" applyFill="1" applyBorder="1" applyAlignment="1">
      <alignment vertical="center"/>
    </xf>
    <xf numFmtId="0" fontId="4" fillId="6" borderId="3" xfId="0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center" vertical="center"/>
    </xf>
    <xf numFmtId="170" fontId="3" fillId="6" borderId="1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left"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168" fontId="4" fillId="3" borderId="7" xfId="0" applyNumberFormat="1" applyFont="1" applyFill="1" applyBorder="1" applyAlignment="1">
      <alignment vertical="center"/>
    </xf>
    <xf numFmtId="2" fontId="8" fillId="6" borderId="7" xfId="0" applyNumberFormat="1" applyFont="1" applyFill="1" applyBorder="1" applyAlignment="1">
      <alignment vertical="center"/>
    </xf>
    <xf numFmtId="2" fontId="14" fillId="6" borderId="0" xfId="0" applyNumberFormat="1" applyFont="1" applyFill="1" applyAlignment="1">
      <alignment vertical="center"/>
    </xf>
    <xf numFmtId="2" fontId="16" fillId="6" borderId="8" xfId="0" applyNumberFormat="1" applyFont="1" applyFill="1" applyBorder="1" applyAlignment="1">
      <alignment vertical="center"/>
    </xf>
    <xf numFmtId="168" fontId="14" fillId="3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10" fontId="3" fillId="2" borderId="0" xfId="333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4" fillId="0" borderId="0" xfId="0" applyFont="1" applyAlignment="1">
      <alignment horizontal="right"/>
    </xf>
    <xf numFmtId="168" fontId="3" fillId="0" borderId="0" xfId="0" applyNumberFormat="1" applyFont="1" applyAlignment="1">
      <alignment vertical="center"/>
    </xf>
    <xf numFmtId="0" fontId="3" fillId="2" borderId="0" xfId="0" applyFont="1" applyFill="1"/>
    <xf numFmtId="172" fontId="25" fillId="0" borderId="0" xfId="333" applyNumberFormat="1" applyFont="1" applyAlignment="1">
      <alignment horizontal="right"/>
    </xf>
    <xf numFmtId="0" fontId="3" fillId="0" borderId="0" xfId="0" applyFont="1"/>
    <xf numFmtId="0" fontId="24" fillId="0" borderId="5" xfId="0" applyFont="1" applyBorder="1"/>
    <xf numFmtId="0" fontId="24" fillId="0" borderId="11" xfId="0" applyFont="1" applyBorder="1" applyAlignment="1">
      <alignment horizontal="right"/>
    </xf>
    <xf numFmtId="0" fontId="24" fillId="0" borderId="6" xfId="0" applyFont="1" applyBorder="1" applyAlignment="1">
      <alignment horizontal="right"/>
    </xf>
    <xf numFmtId="0" fontId="23" fillId="0" borderId="7" xfId="0" applyFont="1" applyBorder="1"/>
    <xf numFmtId="1" fontId="25" fillId="0" borderId="0" xfId="0" applyNumberFormat="1" applyFont="1" applyAlignment="1">
      <alignment horizontal="right"/>
    </xf>
    <xf numFmtId="1" fontId="25" fillId="0" borderId="8" xfId="0" applyNumberFormat="1" applyFont="1" applyBorder="1" applyAlignment="1">
      <alignment horizontal="right"/>
    </xf>
    <xf numFmtId="0" fontId="23" fillId="0" borderId="9" xfId="0" applyFont="1" applyBorder="1"/>
    <xf numFmtId="1" fontId="25" fillId="0" borderId="12" xfId="0" applyNumberFormat="1" applyFont="1" applyBorder="1" applyAlignment="1">
      <alignment horizontal="right"/>
    </xf>
    <xf numFmtId="1" fontId="25" fillId="0" borderId="10" xfId="0" applyNumberFormat="1" applyFont="1" applyBorder="1" applyAlignment="1">
      <alignment horizontal="right"/>
    </xf>
    <xf numFmtId="168" fontId="25" fillId="0" borderId="0" xfId="0" applyNumberFormat="1" applyFont="1"/>
    <xf numFmtId="0" fontId="26" fillId="2" borderId="0" xfId="0" applyFont="1" applyFill="1" applyAlignment="1">
      <alignment horizontal="center" vertical="center"/>
    </xf>
    <xf numFmtId="2" fontId="27" fillId="3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8" fillId="3" borderId="1" xfId="0" applyNumberFormat="1" applyFont="1" applyFill="1" applyBorder="1" applyAlignment="1">
      <alignment horizontal="center" vertical="center"/>
    </xf>
    <xf numFmtId="2" fontId="27" fillId="5" borderId="1" xfId="0" applyNumberFormat="1" applyFont="1" applyFill="1" applyBorder="1" applyAlignment="1">
      <alignment horizontal="center" vertical="center"/>
    </xf>
    <xf numFmtId="3" fontId="28" fillId="5" borderId="1" xfId="1" applyNumberFormat="1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3" fontId="28" fillId="3" borderId="1" xfId="1" applyNumberFormat="1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left" vertical="center"/>
    </xf>
    <xf numFmtId="0" fontId="30" fillId="5" borderId="3" xfId="0" applyFont="1" applyFill="1" applyBorder="1" applyAlignment="1">
      <alignment horizontal="left" vertical="center"/>
    </xf>
    <xf numFmtId="2" fontId="28" fillId="5" borderId="1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30" fillId="6" borderId="3" xfId="0" applyFont="1" applyFill="1" applyBorder="1" applyAlignment="1">
      <alignment horizontal="left" vertical="center"/>
    </xf>
    <xf numFmtId="2" fontId="31" fillId="6" borderId="1" xfId="0" applyNumberFormat="1" applyFont="1" applyFill="1" applyBorder="1" applyAlignment="1">
      <alignment horizontal="center" vertical="center"/>
    </xf>
    <xf numFmtId="3" fontId="28" fillId="6" borderId="1" xfId="1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8" fontId="14" fillId="5" borderId="9" xfId="0" applyNumberFormat="1" applyFont="1" applyFill="1" applyBorder="1" applyAlignment="1">
      <alignment vertical="center"/>
    </xf>
    <xf numFmtId="168" fontId="16" fillId="5" borderId="10" xfId="0" applyNumberFormat="1" applyFont="1" applyFill="1" applyBorder="1" applyAlignment="1">
      <alignment vertical="center"/>
    </xf>
    <xf numFmtId="9" fontId="4" fillId="4" borderId="9" xfId="0" applyNumberFormat="1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9" fontId="4" fillId="3" borderId="7" xfId="0" applyNumberFormat="1" applyFont="1" applyFill="1" applyBorder="1" applyAlignment="1">
      <alignment vertical="center"/>
    </xf>
    <xf numFmtId="9" fontId="4" fillId="3" borderId="0" xfId="0" applyNumberFormat="1" applyFont="1" applyFill="1" applyAlignment="1">
      <alignment vertical="center"/>
    </xf>
    <xf numFmtId="9" fontId="4" fillId="3" borderId="8" xfId="0" applyNumberFormat="1" applyFont="1" applyFill="1" applyBorder="1" applyAlignment="1">
      <alignment vertical="center"/>
    </xf>
    <xf numFmtId="0" fontId="1" fillId="0" borderId="0" xfId="0" applyFont="1"/>
    <xf numFmtId="0" fontId="33" fillId="0" borderId="0" xfId="0" applyFont="1" applyAlignment="1">
      <alignment horizontal="center"/>
    </xf>
    <xf numFmtId="0" fontId="33" fillId="0" borderId="0" xfId="0" applyFont="1"/>
    <xf numFmtId="0" fontId="33" fillId="0" borderId="0" xfId="0" applyFont="1" applyAlignment="1">
      <alignment horizontal="right"/>
    </xf>
    <xf numFmtId="0" fontId="34" fillId="0" borderId="0" xfId="0" applyFont="1"/>
    <xf numFmtId="0" fontId="1" fillId="0" borderId="0" xfId="0" applyFont="1" applyAlignment="1">
      <alignment horizontal="right"/>
    </xf>
    <xf numFmtId="168" fontId="1" fillId="0" borderId="0" xfId="0" applyNumberFormat="1" applyFont="1" applyAlignment="1">
      <alignment horizontal="right" vertical="center"/>
    </xf>
    <xf numFmtId="172" fontId="1" fillId="0" borderId="0" xfId="333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169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0" fontId="3" fillId="2" borderId="0" xfId="332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right" vertical="center"/>
    </xf>
    <xf numFmtId="0" fontId="20" fillId="4" borderId="13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173" fontId="20" fillId="4" borderId="16" xfId="0" applyNumberFormat="1" applyFont="1" applyFill="1" applyBorder="1" applyAlignment="1">
      <alignment horizontal="right" vertical="center"/>
    </xf>
    <xf numFmtId="0" fontId="4" fillId="2" borderId="5" xfId="0" applyFont="1" applyFill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1" xfId="0" applyFont="1" applyFill="1" applyBorder="1"/>
    <xf numFmtId="0" fontId="3" fillId="2" borderId="6" xfId="0" applyFont="1" applyFill="1" applyBorder="1"/>
    <xf numFmtId="0" fontId="3" fillId="2" borderId="8" xfId="0" applyFont="1" applyFill="1" applyBorder="1"/>
    <xf numFmtId="0" fontId="3" fillId="2" borderId="8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9" fontId="22" fillId="2" borderId="0" xfId="0" applyNumberFormat="1" applyFont="1" applyFill="1" applyAlignment="1">
      <alignment vertical="center"/>
    </xf>
    <xf numFmtId="169" fontId="14" fillId="5" borderId="0" xfId="0" applyNumberFormat="1" applyFont="1" applyFill="1" applyAlignment="1">
      <alignment vertical="center"/>
    </xf>
    <xf numFmtId="169" fontId="4" fillId="5" borderId="7" xfId="0" applyNumberFormat="1" applyFont="1" applyFill="1" applyBorder="1" applyAlignment="1">
      <alignment vertical="center"/>
    </xf>
    <xf numFmtId="169" fontId="16" fillId="5" borderId="8" xfId="0" applyNumberFormat="1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172" fontId="4" fillId="2" borderId="0" xfId="0" applyNumberFormat="1" applyFont="1" applyFill="1" applyAlignment="1">
      <alignment horizontal="center" vertical="center"/>
    </xf>
    <xf numFmtId="171" fontId="8" fillId="6" borderId="7" xfId="0" applyNumberFormat="1" applyFont="1" applyFill="1" applyBorder="1" applyAlignment="1">
      <alignment vertical="center"/>
    </xf>
    <xf numFmtId="0" fontId="9" fillId="4" borderId="5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2" fontId="4" fillId="2" borderId="12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</cellXfs>
  <cellStyles count="790">
    <cellStyle name="Comma" xfId="1" builtinId="3"/>
    <cellStyle name="Currency" xfId="332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Normal" xfId="0" builtinId="0"/>
    <cellStyle name="Percent" xfId="3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1B-4BF1-AC89-E8E6A507BE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1B-4BF1-AC89-E8E6A507BEE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1B-4BF1-AC89-E8E6A507BEE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1B-4BF1-AC89-E8E6A507BEE5}"/>
              </c:ext>
            </c:extLst>
          </c:dPt>
          <c:cat>
            <c:strRef>
              <c:f>'Coffee Machine NPV Model'!$B$79:$B$94</c:f>
              <c:strCache>
                <c:ptCount val="16"/>
                <c:pt idx="0">
                  <c:v>Initial sales volume, machines</c:v>
                </c:pt>
                <c:pt idx="1">
                  <c:v>Sales volume, capsules per machine</c:v>
                </c:pt>
                <c:pt idx="2">
                  <c:v>Distributor and retail margin</c:v>
                </c:pt>
                <c:pt idx="3">
                  <c:v>Initial retail price, capsules</c:v>
                </c:pt>
                <c:pt idx="4">
                  <c:v>Sales volume growth, machines</c:v>
                </c:pt>
                <c:pt idx="5">
                  <c:v>Initial retail sale price, machines</c:v>
                </c:pt>
                <c:pt idx="6">
                  <c:v>Retail price growth, machines</c:v>
                </c:pt>
                <c:pt idx="7">
                  <c:v>Retail price growth, capsules</c:v>
                </c:pt>
                <c:pt idx="8">
                  <c:v>Market launch</c:v>
                </c:pt>
                <c:pt idx="9">
                  <c:v>Production direct cost, machines</c:v>
                </c:pt>
                <c:pt idx="10">
                  <c:v>Marketing and support</c:v>
                </c:pt>
                <c:pt idx="11">
                  <c:v>Production cost, capsules</c:v>
                </c:pt>
                <c:pt idx="12">
                  <c:v>Product development</c:v>
                </c:pt>
                <c:pt idx="13">
                  <c:v>Equipment and tooling</c:v>
                </c:pt>
                <c:pt idx="14">
                  <c:v>Production overhead</c:v>
                </c:pt>
                <c:pt idx="15">
                  <c:v>Production ramp-up</c:v>
                </c:pt>
              </c:strCache>
            </c:strRef>
          </c:cat>
          <c:val>
            <c:numRef>
              <c:f>'Coffee Machine NPV Model'!$C$79:$C$94</c:f>
              <c:numCache>
                <c:formatCode>0</c:formatCode>
                <c:ptCount val="16"/>
                <c:pt idx="0">
                  <c:v>44.845136157433444</c:v>
                </c:pt>
                <c:pt idx="1">
                  <c:v>83.384061939173534</c:v>
                </c:pt>
                <c:pt idx="2">
                  <c:v>90.585103313157106</c:v>
                </c:pt>
                <c:pt idx="3">
                  <c:v>114.77672489442763</c:v>
                </c:pt>
                <c:pt idx="4">
                  <c:v>105.91256722106003</c:v>
                </c:pt>
                <c:pt idx="5">
                  <c:v>114.69076276215027</c:v>
                </c:pt>
                <c:pt idx="6">
                  <c:v>121.24590981691014</c:v>
                </c:pt>
                <c:pt idx="7">
                  <c:v>116.83214769677846</c:v>
                </c:pt>
                <c:pt idx="8">
                  <c:v>120.91351617876619</c:v>
                </c:pt>
                <c:pt idx="9">
                  <c:v>122.66493749630251</c:v>
                </c:pt>
                <c:pt idx="10">
                  <c:v>122.80006559978852</c:v>
                </c:pt>
                <c:pt idx="11">
                  <c:v>123.86553294174003</c:v>
                </c:pt>
                <c:pt idx="12">
                  <c:v>123.62272251331807</c:v>
                </c:pt>
                <c:pt idx="13">
                  <c:v>124.59707189061584</c:v>
                </c:pt>
                <c:pt idx="14">
                  <c:v>125.03721607171335</c:v>
                </c:pt>
                <c:pt idx="15">
                  <c:v>125.0757260226641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1B-4BF1-AC89-E8E6A507BEE5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01B-4BF1-AC89-E8E6A507BE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01B-4BF1-AC89-E8E6A507BEE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01B-4BF1-AC89-E8E6A507BEE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01B-4BF1-AC89-E8E6A507BEE5}"/>
              </c:ext>
            </c:extLst>
          </c:dPt>
          <c:cat>
            <c:strRef>
              <c:f>'Coffee Machine NPV Model'!$B$79:$B$94</c:f>
              <c:strCache>
                <c:ptCount val="16"/>
                <c:pt idx="0">
                  <c:v>Initial sales volume, machines</c:v>
                </c:pt>
                <c:pt idx="1">
                  <c:v>Sales volume, capsules per machine</c:v>
                </c:pt>
                <c:pt idx="2">
                  <c:v>Distributor and retail margin</c:v>
                </c:pt>
                <c:pt idx="3">
                  <c:v>Initial retail price, capsules</c:v>
                </c:pt>
                <c:pt idx="4">
                  <c:v>Sales volume growth, machines</c:v>
                </c:pt>
                <c:pt idx="5">
                  <c:v>Initial retail sale price, machines</c:v>
                </c:pt>
                <c:pt idx="6">
                  <c:v>Retail price growth, machines</c:v>
                </c:pt>
                <c:pt idx="7">
                  <c:v>Retail price growth, capsules</c:v>
                </c:pt>
                <c:pt idx="8">
                  <c:v>Market launch</c:v>
                </c:pt>
                <c:pt idx="9">
                  <c:v>Production direct cost, machines</c:v>
                </c:pt>
                <c:pt idx="10">
                  <c:v>Marketing and support</c:v>
                </c:pt>
                <c:pt idx="11">
                  <c:v>Production cost, capsules</c:v>
                </c:pt>
                <c:pt idx="12">
                  <c:v>Product development</c:v>
                </c:pt>
                <c:pt idx="13">
                  <c:v>Equipment and tooling</c:v>
                </c:pt>
                <c:pt idx="14">
                  <c:v>Production overhead</c:v>
                </c:pt>
                <c:pt idx="15">
                  <c:v>Production ramp-up</c:v>
                </c:pt>
              </c:strCache>
            </c:strRef>
          </c:cat>
          <c:val>
            <c:numRef>
              <c:f>'Coffee Machine NPV Model'!$D$79:$D$94</c:f>
              <c:numCache>
                <c:formatCode>0</c:formatCode>
                <c:ptCount val="16"/>
                <c:pt idx="0">
                  <c:v>165.88472259592905</c:v>
                </c:pt>
                <c:pt idx="1">
                  <c:v>181.74370290832874</c:v>
                </c:pt>
                <c:pt idx="2">
                  <c:v>143.01473901806725</c:v>
                </c:pt>
                <c:pt idx="3">
                  <c:v>147.06113156043631</c:v>
                </c:pt>
                <c:pt idx="4">
                  <c:v>136.05983040878687</c:v>
                </c:pt>
                <c:pt idx="5">
                  <c:v>136.38562480404414</c:v>
                </c:pt>
                <c:pt idx="6">
                  <c:v>139.37526980168602</c:v>
                </c:pt>
                <c:pt idx="7">
                  <c:v>125.5381937830972</c:v>
                </c:pt>
                <c:pt idx="8">
                  <c:v>127.3880648248296</c:v>
                </c:pt>
                <c:pt idx="9">
                  <c:v>128.41145006989186</c:v>
                </c:pt>
                <c:pt idx="10">
                  <c:v>128.27632196640587</c:v>
                </c:pt>
                <c:pt idx="11">
                  <c:v>127.21085462445436</c:v>
                </c:pt>
                <c:pt idx="12">
                  <c:v>126.49592941798677</c:v>
                </c:pt>
                <c:pt idx="13">
                  <c:v>126.47931567557856</c:v>
                </c:pt>
                <c:pt idx="14">
                  <c:v>126.03917149448105</c:v>
                </c:pt>
                <c:pt idx="15">
                  <c:v>126.0006615435303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1B-4BF1-AC89-E8E6A507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544792"/>
        <c:axId val="2100682280"/>
      </c:barChart>
      <c:catAx>
        <c:axId val="20925447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crossAx val="2100682280"/>
        <c:crossesAt val="125.5"/>
        <c:auto val="1"/>
        <c:lblAlgn val="ctr"/>
        <c:lblOffset val="200"/>
        <c:noMultiLvlLbl val="0"/>
      </c:catAx>
      <c:valAx>
        <c:axId val="2100682280"/>
        <c:scaling>
          <c:orientation val="minMax"/>
          <c:max val="200"/>
          <c:min val="40"/>
        </c:scaling>
        <c:delete val="0"/>
        <c:axPos val="t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 Parameter Effects on NPV, $M</a:t>
                </a:r>
              </a:p>
            </c:rich>
          </c:tx>
          <c:overlay val="0"/>
        </c:title>
        <c:numFmt formatCode="0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092544792"/>
        <c:crosses val="autoZero"/>
        <c:crossBetween val="between"/>
        <c:min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CheckBox" fmlaLink="$G$40" lockText="1" noThreeD="1"/>
</file>

<file path=xl/ctrlProps/ctrlProp2.xml><?xml version="1.0" encoding="utf-8"?>
<formControlPr xmlns="http://schemas.microsoft.com/office/spreadsheetml/2009/9/main" objectType="CheckBox" fmlaLink="$G$50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205740</xdr:colOff>
          <xdr:row>39</xdr:row>
          <xdr:rowOff>0</xdr:rowOff>
        </xdr:from>
        <xdr:to>
          <xdr:col>6</xdr:col>
          <xdr:colOff>0</xdr:colOff>
          <xdr:row>39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IN" sz="1000" b="0" i="0" u="none" strike="noStrike" baseline="0">
                  <a:solidFill>
                    <a:srgbClr val="000000"/>
                  </a:solidFill>
                  <a:latin typeface="Geneva"/>
                </a:rPr>
                <a:t>Capsule Sales?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472440</xdr:colOff>
          <xdr:row>49</xdr:row>
          <xdr:rowOff>0</xdr:rowOff>
        </xdr:from>
        <xdr:to>
          <xdr:col>6</xdr:col>
          <xdr:colOff>0</xdr:colOff>
          <xdr:row>49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IN" sz="1000" b="0" i="0" u="none" strike="noStrike" baseline="0">
                  <a:solidFill>
                    <a:srgbClr val="000000"/>
                  </a:solidFill>
                  <a:latin typeface="Geneva"/>
                </a:rPr>
                <a:t>Recycling?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186265</xdr:colOff>
      <xdr:row>58</xdr:row>
      <xdr:rowOff>4231</xdr:rowOff>
    </xdr:from>
    <xdr:to>
      <xdr:col>19</xdr:col>
      <xdr:colOff>8465</xdr:colOff>
      <xdr:row>74</xdr:row>
      <xdr:rowOff>143931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94"/>
  <sheetViews>
    <sheetView tabSelected="1" topLeftCell="A25" zoomScale="82" zoomScaleNormal="82" zoomScalePageLayoutView="150" workbookViewId="0">
      <selection activeCell="B31" sqref="B31"/>
    </sheetView>
  </sheetViews>
  <sheetFormatPr defaultColWidth="8.77734375" defaultRowHeight="19.95" customHeight="1"/>
  <cols>
    <col min="1" max="1" width="1.77734375" style="1" customWidth="1"/>
    <col min="2" max="2" width="37" style="17" customWidth="1"/>
    <col min="3" max="18" width="9.44140625" style="3" customWidth="1"/>
    <col min="19" max="19" width="1.77734375" style="1" customWidth="1"/>
    <col min="20" max="55" width="8.77734375" style="1"/>
    <col min="56" max="16384" width="8.77734375" style="3"/>
  </cols>
  <sheetData>
    <row r="1" spans="1:55" s="1" customFormat="1" ht="10.050000000000001" customHeight="1">
      <c r="B1" s="2"/>
    </row>
    <row r="2" spans="1:55" s="5" customFormat="1" ht="19.95" hidden="1" customHeight="1">
      <c r="A2" s="4"/>
      <c r="B2" s="6" t="s">
        <v>11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13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15" customFormat="1" ht="19.95" customHeight="1">
      <c r="A3" s="13"/>
      <c r="B3" s="26" t="s">
        <v>141</v>
      </c>
      <c r="C3" s="207" t="s">
        <v>0</v>
      </c>
      <c r="D3" s="207"/>
      <c r="E3" s="207"/>
      <c r="F3" s="207"/>
      <c r="G3" s="207" t="s">
        <v>1</v>
      </c>
      <c r="H3" s="207"/>
      <c r="I3" s="207"/>
      <c r="J3" s="207"/>
      <c r="K3" s="207" t="s">
        <v>2</v>
      </c>
      <c r="L3" s="207"/>
      <c r="M3" s="207"/>
      <c r="N3" s="207"/>
      <c r="O3" s="207" t="s">
        <v>3</v>
      </c>
      <c r="P3" s="207"/>
      <c r="Q3" s="207"/>
      <c r="R3" s="207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</row>
    <row r="4" spans="1:55" s="15" customFormat="1" ht="19.95" customHeight="1">
      <c r="A4" s="13"/>
      <c r="B4" s="16"/>
      <c r="C4" s="29" t="s">
        <v>4</v>
      </c>
      <c r="D4" s="29" t="s">
        <v>5</v>
      </c>
      <c r="E4" s="29" t="s">
        <v>6</v>
      </c>
      <c r="F4" s="29" t="s">
        <v>7</v>
      </c>
      <c r="G4" s="29" t="s">
        <v>4</v>
      </c>
      <c r="H4" s="29" t="s">
        <v>5</v>
      </c>
      <c r="I4" s="29" t="s">
        <v>6</v>
      </c>
      <c r="J4" s="29" t="s">
        <v>7</v>
      </c>
      <c r="K4" s="29" t="s">
        <v>4</v>
      </c>
      <c r="L4" s="29" t="s">
        <v>5</v>
      </c>
      <c r="M4" s="29" t="s">
        <v>6</v>
      </c>
      <c r="N4" s="29" t="s">
        <v>7</v>
      </c>
      <c r="O4" s="29" t="s">
        <v>4</v>
      </c>
      <c r="P4" s="29" t="s">
        <v>5</v>
      </c>
      <c r="Q4" s="29" t="s">
        <v>6</v>
      </c>
      <c r="R4" s="29" t="s">
        <v>7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</row>
    <row r="5" spans="1:55" s="5" customFormat="1" ht="10.050000000000001" customHeight="1">
      <c r="A5" s="4"/>
      <c r="B5" s="16"/>
      <c r="C5" s="7"/>
      <c r="D5" s="7"/>
      <c r="E5" s="7"/>
      <c r="F5" s="7"/>
      <c r="G5" s="9" t="s">
        <v>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5" customFormat="1" ht="19.95" customHeight="1">
      <c r="A6" s="4"/>
      <c r="B6" s="22" t="s">
        <v>57</v>
      </c>
      <c r="C6" s="79"/>
      <c r="D6" s="79"/>
      <c r="E6" s="79"/>
      <c r="F6" s="79"/>
      <c r="G6" s="80">
        <f>G7*G8/10^6</f>
        <v>6.24</v>
      </c>
      <c r="H6" s="80">
        <f t="shared" ref="H6:R6" si="0">H7*H8/10^6</f>
        <v>7.8</v>
      </c>
      <c r="I6" s="80">
        <f t="shared" si="0"/>
        <v>7.8</v>
      </c>
      <c r="J6" s="80">
        <f t="shared" si="0"/>
        <v>9.36</v>
      </c>
      <c r="K6" s="80">
        <f t="shared" si="0"/>
        <v>6.4584000000000001</v>
      </c>
      <c r="L6" s="80">
        <f t="shared" si="0"/>
        <v>8.0729999999999986</v>
      </c>
      <c r="M6" s="80">
        <f t="shared" si="0"/>
        <v>8.0729999999999986</v>
      </c>
      <c r="N6" s="80">
        <f t="shared" si="0"/>
        <v>9.6875999999999998</v>
      </c>
      <c r="O6" s="80">
        <f t="shared" si="0"/>
        <v>6.6844440000000001</v>
      </c>
      <c r="P6" s="80">
        <f t="shared" si="0"/>
        <v>8.355554999999999</v>
      </c>
      <c r="Q6" s="80">
        <f t="shared" si="0"/>
        <v>8.355554999999999</v>
      </c>
      <c r="R6" s="80">
        <f t="shared" si="0"/>
        <v>10.026666000000002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s="138" customFormat="1" ht="19.95" customHeight="1">
      <c r="A7" s="136"/>
      <c r="B7" s="144" t="s">
        <v>136</v>
      </c>
      <c r="C7" s="137"/>
      <c r="D7" s="137"/>
      <c r="E7" s="137"/>
      <c r="F7" s="137"/>
      <c r="G7" s="143">
        <f>$C$35*C$33</f>
        <v>40000</v>
      </c>
      <c r="H7" s="143">
        <f>$C$35*D$33</f>
        <v>50000</v>
      </c>
      <c r="I7" s="143">
        <f>$C$35*E$33</f>
        <v>50000</v>
      </c>
      <c r="J7" s="143">
        <f>$C$35*F$33</f>
        <v>60000</v>
      </c>
      <c r="K7" s="143">
        <f>G7*(1+$C$34)</f>
        <v>46000</v>
      </c>
      <c r="L7" s="143">
        <f>H7*(1+$C$34)</f>
        <v>57499.999999999993</v>
      </c>
      <c r="M7" s="143">
        <f>I7*(1+$C$34)</f>
        <v>57499.999999999993</v>
      </c>
      <c r="N7" s="143">
        <f>J7*(1+$C$34)</f>
        <v>69000</v>
      </c>
      <c r="O7" s="143">
        <f>K7*(1+$C$34)</f>
        <v>52899.999999999993</v>
      </c>
      <c r="P7" s="143">
        <f>L7*(1+$C$34)</f>
        <v>66124.999999999985</v>
      </c>
      <c r="Q7" s="143">
        <f>M7*(1+$C$34)</f>
        <v>66124.999999999985</v>
      </c>
      <c r="R7" s="143">
        <f>N7*(1+$C$34)</f>
        <v>79350</v>
      </c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</row>
    <row r="8" spans="1:55" s="138" customFormat="1" ht="19.95" customHeight="1">
      <c r="A8" s="136"/>
      <c r="B8" s="144" t="s">
        <v>137</v>
      </c>
      <c r="C8" s="137"/>
      <c r="D8" s="137"/>
      <c r="E8" s="137"/>
      <c r="F8" s="137"/>
      <c r="G8" s="139">
        <f>$C$36*(1-$C$37)</f>
        <v>156</v>
      </c>
      <c r="H8" s="139">
        <f>G8</f>
        <v>156</v>
      </c>
      <c r="I8" s="139">
        <f>H8</f>
        <v>156</v>
      </c>
      <c r="J8" s="139">
        <f>I8</f>
        <v>156</v>
      </c>
      <c r="K8" s="139">
        <f>G8*(1+$C$38)</f>
        <v>140.4</v>
      </c>
      <c r="L8" s="139">
        <f>K8</f>
        <v>140.4</v>
      </c>
      <c r="M8" s="139">
        <f>L8</f>
        <v>140.4</v>
      </c>
      <c r="N8" s="139">
        <f>M8</f>
        <v>140.4</v>
      </c>
      <c r="O8" s="139">
        <f>K8*(1+$C$38)</f>
        <v>126.36000000000001</v>
      </c>
      <c r="P8" s="139">
        <f>O8</f>
        <v>126.36000000000001</v>
      </c>
      <c r="Q8" s="139">
        <f>P8</f>
        <v>126.36000000000001</v>
      </c>
      <c r="R8" s="139">
        <f>Q8</f>
        <v>126.36000000000001</v>
      </c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</row>
    <row r="9" spans="1:55" s="5" customFormat="1" ht="19.95" customHeight="1">
      <c r="A9" s="4"/>
      <c r="B9" s="27" t="s">
        <v>58</v>
      </c>
      <c r="C9" s="82"/>
      <c r="D9" s="82"/>
      <c r="E9" s="82"/>
      <c r="F9" s="82"/>
      <c r="G9" s="83">
        <f>G10*G11/10^6</f>
        <v>0</v>
      </c>
      <c r="H9" s="83">
        <f>H10*H11/10^6</f>
        <v>0</v>
      </c>
      <c r="I9" s="83">
        <f>I10*I11/10^6</f>
        <v>0</v>
      </c>
      <c r="J9" s="83">
        <f>J10*J11/10^6</f>
        <v>0</v>
      </c>
      <c r="K9" s="83">
        <f t="shared" ref="K9:R9" si="1">K10*K11/10^6</f>
        <v>0</v>
      </c>
      <c r="L9" s="83">
        <f t="shared" si="1"/>
        <v>0</v>
      </c>
      <c r="M9" s="83">
        <f t="shared" si="1"/>
        <v>0</v>
      </c>
      <c r="N9" s="83">
        <f t="shared" si="1"/>
        <v>0</v>
      </c>
      <c r="O9" s="83">
        <f t="shared" si="1"/>
        <v>0</v>
      </c>
      <c r="P9" s="83">
        <f t="shared" si="1"/>
        <v>0</v>
      </c>
      <c r="Q9" s="83">
        <f t="shared" si="1"/>
        <v>0</v>
      </c>
      <c r="R9" s="83">
        <f t="shared" si="1"/>
        <v>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s="138" customFormat="1" ht="19.95" customHeight="1">
      <c r="A10" s="136"/>
      <c r="B10" s="145" t="s">
        <v>138</v>
      </c>
      <c r="C10" s="140"/>
      <c r="D10" s="140"/>
      <c r="E10" s="140"/>
      <c r="F10" s="140"/>
      <c r="G10" s="141">
        <f>IF($G$40,G7*$C$39/4,0)</f>
        <v>0</v>
      </c>
      <c r="H10" s="141">
        <f>IF($G$40,SUM($G7:H7)*$C$39/4,0)</f>
        <v>0</v>
      </c>
      <c r="I10" s="141">
        <f>IF($G$40,SUM($G7:I7)*$C$39/4,0)</f>
        <v>0</v>
      </c>
      <c r="J10" s="141">
        <f>IF($G$40,SUM($G7:J7)*$C$39/4,0)</f>
        <v>0</v>
      </c>
      <c r="K10" s="141">
        <f>IF($G$40,SUM($G7:K7)*$C$39/4,0)</f>
        <v>0</v>
      </c>
      <c r="L10" s="141">
        <f>IF($G$40,SUM($G7:L7)*$C$39/4,0)</f>
        <v>0</v>
      </c>
      <c r="M10" s="141">
        <f>IF($G$40,SUM($G7:M7)*$C$39/4,0)</f>
        <v>0</v>
      </c>
      <c r="N10" s="141">
        <f>IF($G$40,SUM($G7:N7)*$C$39/4,0)</f>
        <v>0</v>
      </c>
      <c r="O10" s="141">
        <f>IF($G$40,SUM($G7:O7)*$C$39/4,0)</f>
        <v>0</v>
      </c>
      <c r="P10" s="141">
        <f>IF($G$40,SUM($G7:P7)*$C$39/4,0)</f>
        <v>0</v>
      </c>
      <c r="Q10" s="141">
        <f>IF($G$40,SUM($G7:Q7)*$C$39/4,0)</f>
        <v>0</v>
      </c>
      <c r="R10" s="141">
        <f>IF($G$40,SUM($G7:R7)*$C$39/4,0)</f>
        <v>0</v>
      </c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</row>
    <row r="11" spans="1:55" s="138" customFormat="1" ht="19.95" customHeight="1">
      <c r="A11" s="136"/>
      <c r="B11" s="145" t="s">
        <v>139</v>
      </c>
      <c r="C11" s="140"/>
      <c r="D11" s="140"/>
      <c r="E11" s="140"/>
      <c r="F11" s="140"/>
      <c r="G11" s="146">
        <f>$C$40*(1-$C$37)</f>
        <v>0.36</v>
      </c>
      <c r="H11" s="146">
        <f>G11</f>
        <v>0.36</v>
      </c>
      <c r="I11" s="146">
        <f>H11</f>
        <v>0.36</v>
      </c>
      <c r="J11" s="146">
        <f>I11</f>
        <v>0.36</v>
      </c>
      <c r="K11" s="146">
        <f>G11*(1+$C$41)</f>
        <v>0.378</v>
      </c>
      <c r="L11" s="146">
        <f>K11</f>
        <v>0.378</v>
      </c>
      <c r="M11" s="146">
        <f>L11</f>
        <v>0.378</v>
      </c>
      <c r="N11" s="146">
        <f>M11</f>
        <v>0.378</v>
      </c>
      <c r="O11" s="146">
        <f>K11*(1+$C$41)</f>
        <v>0.39690000000000003</v>
      </c>
      <c r="P11" s="146">
        <f>O11</f>
        <v>0.39690000000000003</v>
      </c>
      <c r="Q11" s="146">
        <f>P11</f>
        <v>0.39690000000000003</v>
      </c>
      <c r="R11" s="146">
        <f>Q11</f>
        <v>0.39690000000000003</v>
      </c>
      <c r="S11" s="136"/>
      <c r="T11" s="142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</row>
    <row r="12" spans="1:55" s="5" customFormat="1" ht="19.95" customHeight="1">
      <c r="A12" s="4"/>
      <c r="B12" s="107" t="s">
        <v>59</v>
      </c>
      <c r="C12" s="108"/>
      <c r="D12" s="108"/>
      <c r="E12" s="108"/>
      <c r="F12" s="108"/>
      <c r="G12" s="109">
        <f>G13*$C$53/10^6</f>
        <v>0</v>
      </c>
      <c r="H12" s="109">
        <f>H13*$C$53/10^6</f>
        <v>0</v>
      </c>
      <c r="I12" s="109">
        <f>I13*$C$53/10^6</f>
        <v>0</v>
      </c>
      <c r="J12" s="109">
        <f>J13*$C$53/10^6</f>
        <v>0</v>
      </c>
      <c r="K12" s="109">
        <f>K13*$C$53/10^6</f>
        <v>0</v>
      </c>
      <c r="L12" s="109">
        <f>L13*$C$53/10^6</f>
        <v>0</v>
      </c>
      <c r="M12" s="109">
        <f>M13*$C$53/10^6</f>
        <v>0</v>
      </c>
      <c r="N12" s="109">
        <f>N13*$C$53/10^6</f>
        <v>0</v>
      </c>
      <c r="O12" s="109">
        <f>O13*$C$53/10^6</f>
        <v>0</v>
      </c>
      <c r="P12" s="109">
        <f>P13*$C$53/10^6</f>
        <v>0</v>
      </c>
      <c r="Q12" s="109">
        <f>Q13*$C$53/10^6</f>
        <v>0</v>
      </c>
      <c r="R12" s="109">
        <f>R13*$C$53/10^6</f>
        <v>0</v>
      </c>
      <c r="S12" s="4"/>
      <c r="T12" s="10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s="151" customFormat="1" ht="19.95" customHeight="1">
      <c r="A13" s="147"/>
      <c r="B13" s="148" t="s">
        <v>140</v>
      </c>
      <c r="C13" s="149"/>
      <c r="D13" s="149"/>
      <c r="E13" s="149"/>
      <c r="F13" s="149"/>
      <c r="G13" s="150">
        <f>IF($G$50,G10*$C$50,0)</f>
        <v>0</v>
      </c>
      <c r="H13" s="150">
        <f>IF($G$50,H10*$C$50,0)</f>
        <v>0</v>
      </c>
      <c r="I13" s="150">
        <f>IF($G$50,I10*$C$50,0)</f>
        <v>0</v>
      </c>
      <c r="J13" s="150">
        <f>IF($G$50,J10*$C$50,0)</f>
        <v>0</v>
      </c>
      <c r="K13" s="150">
        <f>IF($G$50,K10*$C$50,0)</f>
        <v>0</v>
      </c>
      <c r="L13" s="150">
        <f>IF($G$50,L10*$C$50,0)</f>
        <v>0</v>
      </c>
      <c r="M13" s="150">
        <f>IF($G$50,M10*$C$50,0)</f>
        <v>0</v>
      </c>
      <c r="N13" s="150">
        <f>IF($G$50,N10*$C$50,0)</f>
        <v>0</v>
      </c>
      <c r="O13" s="150">
        <f>IF($G$50,O10*$C$50,0)</f>
        <v>0</v>
      </c>
      <c r="P13" s="150">
        <f>IF($G$50,P10*$C$50,0)</f>
        <v>0</v>
      </c>
      <c r="Q13" s="150">
        <f>IF($G$50,Q10*$C$50,0)</f>
        <v>0</v>
      </c>
      <c r="R13" s="150">
        <f>IF($G$50,R10*$C$50,0)</f>
        <v>0</v>
      </c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</row>
    <row r="14" spans="1:55" s="5" customFormat="1" ht="19.95" customHeight="1">
      <c r="A14" s="4"/>
      <c r="B14" s="25" t="s">
        <v>16</v>
      </c>
      <c r="C14" s="30"/>
      <c r="D14" s="30"/>
      <c r="E14" s="30"/>
      <c r="F14" s="30"/>
      <c r="G14" s="31">
        <f>G6+G9+G12</f>
        <v>6.24</v>
      </c>
      <c r="H14" s="31">
        <f t="shared" ref="H14:R14" si="2">H6+H9+H12</f>
        <v>7.8</v>
      </c>
      <c r="I14" s="31">
        <f t="shared" si="2"/>
        <v>7.8</v>
      </c>
      <c r="J14" s="31">
        <f t="shared" si="2"/>
        <v>9.36</v>
      </c>
      <c r="K14" s="31">
        <f t="shared" si="2"/>
        <v>6.4584000000000001</v>
      </c>
      <c r="L14" s="31">
        <f t="shared" si="2"/>
        <v>8.0729999999999986</v>
      </c>
      <c r="M14" s="31">
        <f t="shared" si="2"/>
        <v>8.0729999999999986</v>
      </c>
      <c r="N14" s="31">
        <f t="shared" si="2"/>
        <v>9.6875999999999998</v>
      </c>
      <c r="O14" s="31">
        <f t="shared" si="2"/>
        <v>6.6844440000000001</v>
      </c>
      <c r="P14" s="31">
        <f t="shared" si="2"/>
        <v>8.355554999999999</v>
      </c>
      <c r="Q14" s="31">
        <f t="shared" si="2"/>
        <v>8.355554999999999</v>
      </c>
      <c r="R14" s="31">
        <f t="shared" si="2"/>
        <v>10.026666000000002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5" customFormat="1" ht="10.050000000000001" customHeight="1">
      <c r="A15" s="4"/>
      <c r="B15" s="16"/>
      <c r="C15" s="7"/>
      <c r="D15" s="7"/>
      <c r="E15" s="7"/>
      <c r="F15" s="7"/>
      <c r="G15" s="9" t="s">
        <v>8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s="5" customFormat="1" ht="19.95" customHeight="1">
      <c r="A16" s="4"/>
      <c r="B16" s="23" t="s">
        <v>36</v>
      </c>
      <c r="C16" s="80">
        <f>$C$42/4</f>
        <v>1.25</v>
      </c>
      <c r="D16" s="80">
        <f>$C$42/4</f>
        <v>1.25</v>
      </c>
      <c r="E16" s="80">
        <f>$C$42/4</f>
        <v>1.25</v>
      </c>
      <c r="F16" s="80">
        <f>$C$42/4</f>
        <v>1.25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5" customFormat="1" ht="19.95" customHeight="1">
      <c r="A17" s="4"/>
      <c r="B17" s="23" t="s">
        <v>31</v>
      </c>
      <c r="C17" s="81"/>
      <c r="D17" s="81"/>
      <c r="E17" s="80">
        <f>$C$43/2</f>
        <v>2</v>
      </c>
      <c r="F17" s="80">
        <f>$C$43/2</f>
        <v>2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s="5" customFormat="1" ht="19.95" customHeight="1">
      <c r="A18" s="4"/>
      <c r="B18" s="23" t="s">
        <v>37</v>
      </c>
      <c r="C18" s="79"/>
      <c r="D18" s="79"/>
      <c r="E18" s="79"/>
      <c r="F18" s="80">
        <f>$C$44/2</f>
        <v>1</v>
      </c>
      <c r="G18" s="80">
        <f>$C$44/2</f>
        <v>1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s="5" customFormat="1" ht="19.95" customHeight="1">
      <c r="A19" s="4"/>
      <c r="B19" s="23" t="s">
        <v>38</v>
      </c>
      <c r="C19" s="79"/>
      <c r="D19" s="79"/>
      <c r="E19" s="79"/>
      <c r="F19" s="80">
        <f>$C$46/4+$C$45/2</f>
        <v>6.25</v>
      </c>
      <c r="G19" s="80">
        <f>$C$46/4+$C$45/2</f>
        <v>6.25</v>
      </c>
      <c r="H19" s="80">
        <f t="shared" ref="H19:R19" si="3">$C$46/4</f>
        <v>1.25</v>
      </c>
      <c r="I19" s="80">
        <f t="shared" si="3"/>
        <v>1.25</v>
      </c>
      <c r="J19" s="80">
        <f t="shared" si="3"/>
        <v>1.25</v>
      </c>
      <c r="K19" s="80">
        <f t="shared" si="3"/>
        <v>1.25</v>
      </c>
      <c r="L19" s="80">
        <f t="shared" si="3"/>
        <v>1.25</v>
      </c>
      <c r="M19" s="80">
        <f t="shared" si="3"/>
        <v>1.25</v>
      </c>
      <c r="N19" s="80">
        <f t="shared" si="3"/>
        <v>1.25</v>
      </c>
      <c r="O19" s="80">
        <f t="shared" si="3"/>
        <v>1.25</v>
      </c>
      <c r="P19" s="80">
        <f t="shared" si="3"/>
        <v>1.25</v>
      </c>
      <c r="Q19" s="80">
        <f t="shared" si="3"/>
        <v>1.25</v>
      </c>
      <c r="R19" s="80">
        <f t="shared" si="3"/>
        <v>1.25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s="5" customFormat="1" ht="19.95" customHeight="1">
      <c r="A20" s="4"/>
      <c r="B20" s="23" t="s">
        <v>54</v>
      </c>
      <c r="C20" s="79"/>
      <c r="D20" s="79"/>
      <c r="E20" s="79"/>
      <c r="F20" s="79"/>
      <c r="G20" s="80">
        <f>$C$47*G7/10^6+$C$48/4</f>
        <v>2.4500000000000002</v>
      </c>
      <c r="H20" s="80">
        <f>$C$47*H7/10^6+$C$48/4</f>
        <v>3</v>
      </c>
      <c r="I20" s="80">
        <f>$C$47*I7/10^6+$C$48/4</f>
        <v>3</v>
      </c>
      <c r="J20" s="80">
        <f>$C$47*J7/10^6+$C$48/4</f>
        <v>3.55</v>
      </c>
      <c r="K20" s="80">
        <f>$C$47*K7/10^6+$C$48/4</f>
        <v>2.78</v>
      </c>
      <c r="L20" s="80">
        <f>$C$47*L7/10^6+$C$48/4</f>
        <v>3.4124999999999996</v>
      </c>
      <c r="M20" s="80">
        <f>$C$47*M7/10^6+$C$48/4</f>
        <v>3.4124999999999996</v>
      </c>
      <c r="N20" s="80">
        <f>$C$47*N7/10^6+$C$48/4</f>
        <v>4.0449999999999999</v>
      </c>
      <c r="O20" s="80">
        <f>$C$47*O7/10^6+$C$48/4</f>
        <v>3.1594999999999995</v>
      </c>
      <c r="P20" s="80">
        <f>$C$47*P7/10^6+$C$48/4</f>
        <v>3.886874999999999</v>
      </c>
      <c r="Q20" s="80">
        <f>$C$47*Q7/10^6+$C$48/4</f>
        <v>3.886874999999999</v>
      </c>
      <c r="R20" s="80">
        <f>$C$47*R7/10^6+$C$48/4</f>
        <v>4.6142500000000002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5" customFormat="1" ht="19.95" customHeight="1">
      <c r="A21" s="4"/>
      <c r="B21" s="28" t="s">
        <v>55</v>
      </c>
      <c r="C21" s="82"/>
      <c r="D21" s="82"/>
      <c r="E21" s="82"/>
      <c r="F21" s="82"/>
      <c r="G21" s="83">
        <f>$C$49*G10/10^6</f>
        <v>0</v>
      </c>
      <c r="H21" s="83">
        <f>$C$49*H10/10^6</f>
        <v>0</v>
      </c>
      <c r="I21" s="83">
        <f>$C$49*I10/10^6</f>
        <v>0</v>
      </c>
      <c r="J21" s="83">
        <f>$C$49*J10/10^6</f>
        <v>0</v>
      </c>
      <c r="K21" s="83">
        <f>$C$49*K10/10^6</f>
        <v>0</v>
      </c>
      <c r="L21" s="83">
        <f>$C$49*L10/10^6</f>
        <v>0</v>
      </c>
      <c r="M21" s="83">
        <f>$C$49*M10/10^6</f>
        <v>0</v>
      </c>
      <c r="N21" s="83">
        <f>$C$49*N10/10^6</f>
        <v>0</v>
      </c>
      <c r="O21" s="83">
        <f>$C$49*O10/10^6</f>
        <v>0</v>
      </c>
      <c r="P21" s="83">
        <f>$C$49*P10/10^6</f>
        <v>0</v>
      </c>
      <c r="Q21" s="83">
        <f>$C$49*Q10/10^6</f>
        <v>0</v>
      </c>
      <c r="R21" s="83">
        <f>$C$49*R10/10^6</f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5" customFormat="1" ht="19.95" customHeight="1">
      <c r="A22" s="4"/>
      <c r="B22" s="110" t="s">
        <v>56</v>
      </c>
      <c r="C22" s="108"/>
      <c r="D22" s="108"/>
      <c r="E22" s="108"/>
      <c r="F22" s="108"/>
      <c r="G22" s="111">
        <f>IF($G$50,$C$51/4+$C$52*G13/10^6,0)</f>
        <v>0</v>
      </c>
      <c r="H22" s="111">
        <f>IF($G$50,$C$51/4+$C$52*H13/10^6,0)</f>
        <v>0</v>
      </c>
      <c r="I22" s="111">
        <f>IF($G$50,$C$51/4+$C$52*I13/10^6,0)</f>
        <v>0</v>
      </c>
      <c r="J22" s="111">
        <f>IF($G$50,$C$51/4+$C$52*J13/10^6,0)</f>
        <v>0</v>
      </c>
      <c r="K22" s="111">
        <f>IF($G$50,$C$51/4+$C$52*K13/10^6,0)</f>
        <v>0</v>
      </c>
      <c r="L22" s="111">
        <f>IF($G$50,$C$51/4+$C$52*L13/10^6,0)</f>
        <v>0</v>
      </c>
      <c r="M22" s="111">
        <f>IF($G$50,$C$51/4+$C$52*M13/10^6,0)</f>
        <v>0</v>
      </c>
      <c r="N22" s="111">
        <f>IF($G$50,$C$51/4+$C$52*N13/10^6,0)</f>
        <v>0</v>
      </c>
      <c r="O22" s="111">
        <f>IF($G$50,$C$51/4+$C$52*O13/10^6,0)</f>
        <v>0</v>
      </c>
      <c r="P22" s="111">
        <f>IF($G$50,$C$51/4+$C$52*P13/10^6,0)</f>
        <v>0</v>
      </c>
      <c r="Q22" s="111">
        <f>IF($G$50,$C$51/4+$C$52*Q13/10^6,0)</f>
        <v>0</v>
      </c>
      <c r="R22" s="111">
        <f>IF($G$50,$C$51/4+$C$52*R13/10^6,0)</f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s="5" customFormat="1" ht="19.95" customHeight="1">
      <c r="A23" s="4"/>
      <c r="B23" s="24" t="s">
        <v>9</v>
      </c>
      <c r="C23" s="31">
        <f t="shared" ref="C23:R23" si="4">SUM(C16:C22)</f>
        <v>1.25</v>
      </c>
      <c r="D23" s="31">
        <f t="shared" si="4"/>
        <v>1.25</v>
      </c>
      <c r="E23" s="31">
        <f t="shared" si="4"/>
        <v>3.25</v>
      </c>
      <c r="F23" s="31">
        <f t="shared" si="4"/>
        <v>10.5</v>
      </c>
      <c r="G23" s="31">
        <f t="shared" si="4"/>
        <v>9.6999999999999993</v>
      </c>
      <c r="H23" s="31">
        <f t="shared" si="4"/>
        <v>4.25</v>
      </c>
      <c r="I23" s="31">
        <f t="shared" si="4"/>
        <v>4.25</v>
      </c>
      <c r="J23" s="31">
        <f t="shared" si="4"/>
        <v>4.8</v>
      </c>
      <c r="K23" s="31">
        <f t="shared" si="4"/>
        <v>4.0299999999999994</v>
      </c>
      <c r="L23" s="31">
        <f t="shared" si="4"/>
        <v>4.6624999999999996</v>
      </c>
      <c r="M23" s="31">
        <f t="shared" si="4"/>
        <v>4.6624999999999996</v>
      </c>
      <c r="N23" s="31">
        <f t="shared" si="4"/>
        <v>5.2949999999999999</v>
      </c>
      <c r="O23" s="31">
        <f t="shared" si="4"/>
        <v>4.4094999999999995</v>
      </c>
      <c r="P23" s="31">
        <f t="shared" si="4"/>
        <v>5.136874999999999</v>
      </c>
      <c r="Q23" s="31">
        <f t="shared" si="4"/>
        <v>5.136874999999999</v>
      </c>
      <c r="R23" s="31">
        <f t="shared" si="4"/>
        <v>5.8642500000000002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5" customFormat="1" ht="10.050000000000001" customHeight="1">
      <c r="A24" s="4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s="5" customFormat="1" ht="19.95" customHeight="1">
      <c r="A25" s="4"/>
      <c r="B25" s="25" t="s">
        <v>10</v>
      </c>
      <c r="C25" s="31">
        <f>C14-C23</f>
        <v>-1.25</v>
      </c>
      <c r="D25" s="31">
        <f t="shared" ref="D25:R25" si="5">D14-D23</f>
        <v>-1.25</v>
      </c>
      <c r="E25" s="31">
        <f t="shared" si="5"/>
        <v>-3.25</v>
      </c>
      <c r="F25" s="31">
        <f t="shared" si="5"/>
        <v>-10.5</v>
      </c>
      <c r="G25" s="31">
        <f t="shared" si="5"/>
        <v>-3.4599999999999991</v>
      </c>
      <c r="H25" s="31">
        <f t="shared" si="5"/>
        <v>3.55</v>
      </c>
      <c r="I25" s="31">
        <f t="shared" si="5"/>
        <v>3.55</v>
      </c>
      <c r="J25" s="31">
        <f t="shared" si="5"/>
        <v>4.5599999999999996</v>
      </c>
      <c r="K25" s="31">
        <f t="shared" si="5"/>
        <v>2.4284000000000008</v>
      </c>
      <c r="L25" s="31">
        <f t="shared" si="5"/>
        <v>3.410499999999999</v>
      </c>
      <c r="M25" s="31">
        <f t="shared" si="5"/>
        <v>3.410499999999999</v>
      </c>
      <c r="N25" s="31">
        <f t="shared" si="5"/>
        <v>4.3925999999999998</v>
      </c>
      <c r="O25" s="31">
        <f t="shared" si="5"/>
        <v>2.2749440000000005</v>
      </c>
      <c r="P25" s="31">
        <f t="shared" si="5"/>
        <v>3.21868</v>
      </c>
      <c r="Q25" s="31">
        <f t="shared" si="5"/>
        <v>3.21868</v>
      </c>
      <c r="R25" s="31">
        <f t="shared" si="5"/>
        <v>4.1624160000000021</v>
      </c>
      <c r="S25" s="13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s="5" customFormat="1" ht="19.95" customHeight="1">
      <c r="A26" s="4"/>
      <c r="B26" s="178" t="s">
        <v>19</v>
      </c>
      <c r="C26" s="175">
        <f>C25/(1+($C$54/4))^C2</f>
        <v>-1.2285012285012284</v>
      </c>
      <c r="D26" s="175">
        <f>D25/(1+($C$54/4))^D2</f>
        <v>-1.207372214743222</v>
      </c>
      <c r="E26" s="30">
        <f>E25/(1+($C$54/4))^E2</f>
        <v>-3.0851771580662186</v>
      </c>
      <c r="F26" s="30">
        <f>F25/(1+($C$54/4))^F2</f>
        <v>-9.7960643083561632</v>
      </c>
      <c r="G26" s="30">
        <f>G25/(1+($C$54/4))^G2</f>
        <v>-3.1725173751643676</v>
      </c>
      <c r="H26" s="30">
        <f>H25/(1+($C$54/4))^H2</f>
        <v>3.1990560230172864</v>
      </c>
      <c r="I26" s="30">
        <f>I25/(1+($C$54/4))^I2</f>
        <v>3.1440354034567926</v>
      </c>
      <c r="J26" s="30">
        <f>J25/(1+($C$54/4))^J2</f>
        <v>3.969076773301857</v>
      </c>
      <c r="K26" s="30">
        <f>K25/(1+($C$54/4))^K2</f>
        <v>2.0773537730691478</v>
      </c>
      <c r="L26" s="30">
        <f>L25/(1+($C$54/4))^L2</f>
        <v>2.8673048868699604</v>
      </c>
      <c r="M26" s="30">
        <f>M25/(1+($C$54/4))^M2</f>
        <v>2.8179900608058581</v>
      </c>
      <c r="N26" s="30">
        <f>N25/(1+($C$54/4))^N2</f>
        <v>3.5670454456758414</v>
      </c>
      <c r="O26" s="30">
        <f>O25/(1+($C$54/4))^O2</f>
        <v>1.8156129757132491</v>
      </c>
      <c r="P26" s="30">
        <f>P25/(1+($C$54/4))^P2</f>
        <v>2.524619607632999</v>
      </c>
      <c r="Q26" s="30">
        <f>Q25/(1+($C$54/4))^Q2</f>
        <v>2.4811986315803436</v>
      </c>
      <c r="R26" s="30">
        <f>R25/(1+($C$54/4))^R2</f>
        <v>3.1535142363419535</v>
      </c>
      <c r="S26" s="13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s="5" customFormat="1" ht="19.95" customHeight="1">
      <c r="A27" s="4"/>
      <c r="B27" s="176" t="s">
        <v>12</v>
      </c>
      <c r="C27" s="179">
        <f>SUM(C26:R26)</f>
        <v>13.127175532634089</v>
      </c>
      <c r="D27" s="177" t="s">
        <v>144</v>
      </c>
      <c r="E27" s="32"/>
      <c r="F27" s="32"/>
      <c r="G27" s="84"/>
      <c r="H27" s="32"/>
      <c r="I27" s="32"/>
      <c r="J27" s="32"/>
      <c r="K27" s="32"/>
      <c r="L27" s="33"/>
      <c r="M27" s="32"/>
      <c r="N27" s="32"/>
      <c r="O27" s="32"/>
      <c r="P27" s="32"/>
      <c r="Q27" s="32"/>
      <c r="R27" s="32"/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s="5" customFormat="1" ht="21">
      <c r="A28" s="4"/>
      <c r="B28" s="42"/>
      <c r="C28" s="84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13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s="5" customFormat="1" ht="15.6">
      <c r="A29" s="4"/>
      <c r="B29" s="117" t="s">
        <v>64</v>
      </c>
      <c r="C29" s="119">
        <v>125.5381937830972</v>
      </c>
      <c r="D29" s="118">
        <f>(C27-C29)/C29</f>
        <v>-0.89543281500994831</v>
      </c>
      <c r="E29" s="174">
        <f>C27-C29</f>
        <v>-112.41101825046312</v>
      </c>
      <c r="G29" s="32"/>
      <c r="H29" s="32"/>
      <c r="I29" s="32"/>
      <c r="J29" s="32"/>
      <c r="K29" s="32"/>
      <c r="L29" s="212" t="s">
        <v>60</v>
      </c>
      <c r="M29" s="212"/>
      <c r="N29" s="212"/>
      <c r="O29" s="212"/>
      <c r="P29" s="212"/>
      <c r="Q29" s="212"/>
      <c r="S29" s="13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customFormat="1" ht="19.95" customHeight="1"/>
    <row r="31" spans="1:55" s="1" customFormat="1" ht="19.95" customHeight="1">
      <c r="B31" s="2" t="s">
        <v>145</v>
      </c>
      <c r="D31" s="32"/>
      <c r="L31" s="216" t="s">
        <v>28</v>
      </c>
      <c r="M31" s="217"/>
      <c r="N31" s="218" t="s">
        <v>29</v>
      </c>
      <c r="O31" s="219"/>
      <c r="P31" s="210" t="s">
        <v>30</v>
      </c>
      <c r="Q31" s="211"/>
    </row>
    <row r="32" spans="1:55" s="1" customFormat="1" ht="19.95" customHeight="1">
      <c r="B32" s="195" t="s">
        <v>23</v>
      </c>
      <c r="C32" s="204" t="s">
        <v>24</v>
      </c>
      <c r="D32" s="205"/>
      <c r="E32" s="205"/>
      <c r="F32" s="206"/>
      <c r="H32" s="213" t="s">
        <v>27</v>
      </c>
      <c r="I32" s="214"/>
      <c r="J32" s="215"/>
      <c r="K32" s="19"/>
      <c r="L32" s="208" t="s">
        <v>61</v>
      </c>
      <c r="M32" s="209"/>
      <c r="N32" s="208" t="s">
        <v>62</v>
      </c>
      <c r="O32" s="209"/>
      <c r="P32" s="208" t="s">
        <v>63</v>
      </c>
      <c r="Q32" s="209"/>
    </row>
    <row r="33" spans="2:17" s="2" customFormat="1" ht="19.95" customHeight="1">
      <c r="B33" s="196" t="s">
        <v>44</v>
      </c>
      <c r="C33" s="157">
        <v>0.2</v>
      </c>
      <c r="D33" s="158">
        <v>0.25</v>
      </c>
      <c r="E33" s="158">
        <v>0.25</v>
      </c>
      <c r="F33" s="159">
        <v>0.3</v>
      </c>
      <c r="G33" s="18"/>
      <c r="H33" s="40" t="s">
        <v>20</v>
      </c>
      <c r="I33" s="41" t="s">
        <v>21</v>
      </c>
      <c r="J33" s="35" t="s">
        <v>22</v>
      </c>
      <c r="L33" s="34" t="s">
        <v>21</v>
      </c>
      <c r="M33" s="35" t="s">
        <v>22</v>
      </c>
      <c r="N33" s="34" t="s">
        <v>21</v>
      </c>
      <c r="O33" s="35" t="s">
        <v>22</v>
      </c>
      <c r="P33" s="34" t="s">
        <v>21</v>
      </c>
      <c r="Q33" s="35" t="s">
        <v>22</v>
      </c>
    </row>
    <row r="34" spans="2:17" s="2" customFormat="1" ht="19.95" customHeight="1">
      <c r="B34" s="196" t="s">
        <v>45</v>
      </c>
      <c r="C34" s="43">
        <v>0.15</v>
      </c>
      <c r="D34" s="44" t="s">
        <v>40</v>
      </c>
      <c r="E34" s="44"/>
      <c r="F34" s="45"/>
      <c r="H34" s="43">
        <v>0.15</v>
      </c>
      <c r="I34" s="51">
        <v>-0.05</v>
      </c>
      <c r="J34" s="52">
        <v>0.25</v>
      </c>
      <c r="L34" s="57">
        <v>9.2714356089906289</v>
      </c>
      <c r="M34" s="58">
        <v>17.204334980957817</v>
      </c>
      <c r="N34" s="57">
        <v>105.91256722106003</v>
      </c>
      <c r="O34" s="58">
        <v>136.05983040878687</v>
      </c>
      <c r="P34" s="57"/>
      <c r="Q34" s="58"/>
    </row>
    <row r="35" spans="2:17" s="2" customFormat="1" ht="19.95" customHeight="1">
      <c r="B35" s="196" t="s">
        <v>46</v>
      </c>
      <c r="C35" s="46">
        <f>H35*(1+G35)</f>
        <v>200000</v>
      </c>
      <c r="D35" s="47" t="s">
        <v>14</v>
      </c>
      <c r="E35" s="44"/>
      <c r="F35" s="45"/>
      <c r="G35" s="202"/>
      <c r="H35" s="46">
        <v>200000</v>
      </c>
      <c r="I35" s="53">
        <v>100000</v>
      </c>
      <c r="J35" s="54">
        <v>250000</v>
      </c>
      <c r="L35" s="57">
        <v>-11.360372967798106</v>
      </c>
      <c r="M35" s="58">
        <v>25.37094978285019</v>
      </c>
      <c r="N35" s="57">
        <v>44.845136157433444</v>
      </c>
      <c r="O35" s="58">
        <v>165.88472259592905</v>
      </c>
      <c r="P35" s="57"/>
      <c r="Q35" s="58"/>
    </row>
    <row r="36" spans="2:17" s="1" customFormat="1" ht="19.95" customHeight="1">
      <c r="B36" s="196" t="s">
        <v>47</v>
      </c>
      <c r="C36" s="48">
        <v>260</v>
      </c>
      <c r="D36" s="44" t="s">
        <v>13</v>
      </c>
      <c r="E36" s="49"/>
      <c r="F36" s="50"/>
      <c r="H36" s="48">
        <v>260</v>
      </c>
      <c r="I36" s="55">
        <v>225</v>
      </c>
      <c r="J36" s="56">
        <v>295</v>
      </c>
      <c r="L36" s="57">
        <v>2.2797445116871611</v>
      </c>
      <c r="M36" s="58">
        <v>23.974606553581019</v>
      </c>
      <c r="N36" s="57">
        <v>114.69076276215027</v>
      </c>
      <c r="O36" s="58">
        <v>136.38562480404414</v>
      </c>
      <c r="P36" s="57"/>
      <c r="Q36" s="58"/>
    </row>
    <row r="37" spans="2:17" s="1" customFormat="1" ht="19.95" customHeight="1">
      <c r="B37" s="196" t="s">
        <v>26</v>
      </c>
      <c r="C37" s="43">
        <v>0.4</v>
      </c>
      <c r="D37" s="49"/>
      <c r="E37" s="49"/>
      <c r="F37" s="50"/>
      <c r="G37" s="14"/>
      <c r="H37" s="43">
        <v>0.4</v>
      </c>
      <c r="I37" s="51">
        <v>0.5</v>
      </c>
      <c r="J37" s="52">
        <v>0.35</v>
      </c>
      <c r="L37" s="57">
        <v>-0.30297715996687047</v>
      </c>
      <c r="M37" s="58">
        <v>19.842251878934555</v>
      </c>
      <c r="N37" s="57">
        <v>90.585103313157106</v>
      </c>
      <c r="O37" s="58">
        <v>143.01473901806725</v>
      </c>
      <c r="P37" s="57"/>
      <c r="Q37" s="58"/>
    </row>
    <row r="38" spans="2:17" s="1" customFormat="1" ht="19.95" customHeight="1">
      <c r="B38" s="196" t="s">
        <v>48</v>
      </c>
      <c r="C38" s="43">
        <v>-0.1</v>
      </c>
      <c r="D38" s="44" t="s">
        <v>40</v>
      </c>
      <c r="E38" s="49"/>
      <c r="F38" s="50"/>
      <c r="H38" s="43">
        <v>-0.1</v>
      </c>
      <c r="I38" s="51">
        <v>-0.15</v>
      </c>
      <c r="J38" s="52">
        <v>0.05</v>
      </c>
      <c r="L38" s="57">
        <v>8.8348915664470535</v>
      </c>
      <c r="M38" s="58">
        <v>26.964251551222898</v>
      </c>
      <c r="N38" s="57">
        <v>121.24590981691014</v>
      </c>
      <c r="O38" s="58">
        <v>139.37526980168602</v>
      </c>
      <c r="P38" s="57"/>
      <c r="Q38" s="58"/>
    </row>
    <row r="39" spans="2:17" s="2" customFormat="1" ht="19.95" customHeight="1">
      <c r="B39" s="60" t="s">
        <v>43</v>
      </c>
      <c r="C39" s="60">
        <v>400</v>
      </c>
      <c r="D39" s="61" t="s">
        <v>15</v>
      </c>
      <c r="E39" s="61"/>
      <c r="F39" s="62"/>
      <c r="G39" s="18"/>
      <c r="H39" s="60">
        <v>400</v>
      </c>
      <c r="I39" s="63">
        <v>250</v>
      </c>
      <c r="J39" s="64">
        <v>600</v>
      </c>
      <c r="L39" s="36"/>
      <c r="M39" s="37"/>
      <c r="N39" s="65">
        <v>83.384061939173534</v>
      </c>
      <c r="O39" s="66">
        <v>181.74370290832874</v>
      </c>
      <c r="P39" s="65"/>
      <c r="Q39" s="66"/>
    </row>
    <row r="40" spans="2:17" s="1" customFormat="1" ht="19.95" customHeight="1">
      <c r="B40" s="60" t="s">
        <v>41</v>
      </c>
      <c r="C40" s="67">
        <v>0.6</v>
      </c>
      <c r="D40" s="61" t="s">
        <v>13</v>
      </c>
      <c r="E40" s="68"/>
      <c r="F40" s="69"/>
      <c r="G40" s="190" t="b">
        <v>0</v>
      </c>
      <c r="H40" s="67">
        <v>0.6</v>
      </c>
      <c r="I40" s="70">
        <v>0.55000000000000004</v>
      </c>
      <c r="J40" s="71">
        <v>0.7</v>
      </c>
      <c r="L40" s="36"/>
      <c r="M40" s="37"/>
      <c r="N40" s="65">
        <v>114.77672489442763</v>
      </c>
      <c r="O40" s="66">
        <v>147.06113156043631</v>
      </c>
      <c r="P40" s="65"/>
      <c r="Q40" s="66"/>
    </row>
    <row r="41" spans="2:17" s="1" customFormat="1" ht="19.95" customHeight="1">
      <c r="B41" s="197" t="s">
        <v>42</v>
      </c>
      <c r="C41" s="72">
        <v>0.05</v>
      </c>
      <c r="D41" s="61" t="s">
        <v>40</v>
      </c>
      <c r="E41" s="68"/>
      <c r="F41" s="69"/>
      <c r="G41" s="14"/>
      <c r="H41" s="72">
        <v>0.05</v>
      </c>
      <c r="I41" s="73">
        <v>0</v>
      </c>
      <c r="J41" s="74">
        <v>0.05</v>
      </c>
      <c r="L41" s="36"/>
      <c r="M41" s="37"/>
      <c r="N41" s="65">
        <v>116.83214769677846</v>
      </c>
      <c r="O41" s="66">
        <v>125.5381937830972</v>
      </c>
      <c r="P41" s="65"/>
      <c r="Q41" s="66"/>
    </row>
    <row r="42" spans="2:17" s="1" customFormat="1" ht="19.95" customHeight="1">
      <c r="B42" s="46" t="s">
        <v>36</v>
      </c>
      <c r="C42" s="112">
        <v>5</v>
      </c>
      <c r="D42" s="44" t="s">
        <v>33</v>
      </c>
      <c r="E42" s="49"/>
      <c r="F42" s="50"/>
      <c r="G42" s="14"/>
      <c r="H42" s="112">
        <v>5</v>
      </c>
      <c r="I42" s="116">
        <v>7</v>
      </c>
      <c r="J42" s="58">
        <v>4</v>
      </c>
      <c r="L42" s="57">
        <v>11.211704262854951</v>
      </c>
      <c r="M42" s="58">
        <v>14.084911167523659</v>
      </c>
      <c r="N42" s="57">
        <v>123.62272251331807</v>
      </c>
      <c r="O42" s="58">
        <v>126.49592941798677</v>
      </c>
      <c r="P42" s="57"/>
      <c r="Q42" s="58"/>
    </row>
    <row r="43" spans="2:17" s="1" customFormat="1" ht="19.95" customHeight="1">
      <c r="B43" s="196" t="s">
        <v>31</v>
      </c>
      <c r="C43" s="112">
        <v>4</v>
      </c>
      <c r="D43" s="44" t="s">
        <v>34</v>
      </c>
      <c r="E43" s="49"/>
      <c r="F43" s="50"/>
      <c r="G43" s="14"/>
      <c r="H43" s="112">
        <v>4</v>
      </c>
      <c r="I43" s="116">
        <v>5</v>
      </c>
      <c r="J43" s="58">
        <v>3</v>
      </c>
      <c r="L43" s="57">
        <v>12.18605364015273</v>
      </c>
      <c r="M43" s="58">
        <v>14.068297425115448</v>
      </c>
      <c r="N43" s="57">
        <v>124.59707189061584</v>
      </c>
      <c r="O43" s="58">
        <v>126.47931567557856</v>
      </c>
      <c r="P43" s="57"/>
      <c r="Q43" s="58"/>
    </row>
    <row r="44" spans="2:17" s="1" customFormat="1" ht="19.95" customHeight="1">
      <c r="B44" s="196" t="s">
        <v>37</v>
      </c>
      <c r="C44" s="112">
        <v>2</v>
      </c>
      <c r="D44" s="44" t="s">
        <v>34</v>
      </c>
      <c r="E44" s="49"/>
      <c r="F44" s="50"/>
      <c r="G44" s="14"/>
      <c r="H44" s="112">
        <v>2</v>
      </c>
      <c r="I44" s="116">
        <v>2.5</v>
      </c>
      <c r="J44" s="58">
        <v>1.5</v>
      </c>
      <c r="L44" s="57">
        <v>12.664707772200986</v>
      </c>
      <c r="M44" s="58">
        <v>13.589643293067189</v>
      </c>
      <c r="N44" s="57">
        <v>125.0757260226641</v>
      </c>
      <c r="O44" s="58">
        <v>126.0006615435303</v>
      </c>
      <c r="P44" s="57"/>
      <c r="Q44" s="58"/>
    </row>
    <row r="45" spans="2:17" s="1" customFormat="1" ht="19.95" customHeight="1">
      <c r="B45" s="196" t="s">
        <v>39</v>
      </c>
      <c r="C45" s="112">
        <v>10</v>
      </c>
      <c r="D45" s="44" t="s">
        <v>34</v>
      </c>
      <c r="E45" s="49"/>
      <c r="F45" s="50"/>
      <c r="G45" s="14"/>
      <c r="H45" s="112">
        <v>10</v>
      </c>
      <c r="I45" s="116">
        <v>15</v>
      </c>
      <c r="J45" s="58">
        <v>8</v>
      </c>
      <c r="L45" s="57">
        <v>8.5024979283030824</v>
      </c>
      <c r="M45" s="58">
        <v>14.977046574366492</v>
      </c>
      <c r="N45" s="57">
        <v>120.91351617876619</v>
      </c>
      <c r="O45" s="58">
        <v>127.3880648248296</v>
      </c>
      <c r="P45" s="57"/>
      <c r="Q45" s="58"/>
    </row>
    <row r="46" spans="2:17" s="1" customFormat="1" ht="19.95" customHeight="1">
      <c r="B46" s="196" t="s">
        <v>38</v>
      </c>
      <c r="C46" s="112">
        <v>5</v>
      </c>
      <c r="D46" s="44" t="s">
        <v>35</v>
      </c>
      <c r="E46" s="49"/>
      <c r="F46" s="50"/>
      <c r="G46" s="14"/>
      <c r="H46" s="112">
        <v>5</v>
      </c>
      <c r="I46" s="116">
        <v>6</v>
      </c>
      <c r="J46" s="58">
        <v>4</v>
      </c>
      <c r="L46" s="57">
        <v>10.389047349325416</v>
      </c>
      <c r="M46" s="58">
        <v>15.86530371594276</v>
      </c>
      <c r="N46" s="57">
        <v>122.80006559978852</v>
      </c>
      <c r="O46" s="58">
        <v>128.27632196640587</v>
      </c>
      <c r="P46" s="57"/>
      <c r="Q46" s="58"/>
    </row>
    <row r="47" spans="2:17" s="1" customFormat="1" ht="19.95" customHeight="1">
      <c r="B47" s="198" t="s">
        <v>49</v>
      </c>
      <c r="C47" s="59">
        <v>55</v>
      </c>
      <c r="D47" s="44" t="s">
        <v>13</v>
      </c>
      <c r="E47" s="49"/>
      <c r="F47" s="50"/>
      <c r="G47" s="14"/>
      <c r="H47" s="59">
        <v>55</v>
      </c>
      <c r="I47" s="55">
        <v>60</v>
      </c>
      <c r="J47" s="56">
        <v>50</v>
      </c>
      <c r="L47" s="57">
        <v>10.253919245839416</v>
      </c>
      <c r="M47" s="58">
        <v>16.000431819428751</v>
      </c>
      <c r="N47" s="57">
        <v>122.66493749630251</v>
      </c>
      <c r="O47" s="58">
        <v>128.41145006989186</v>
      </c>
      <c r="P47" s="57"/>
      <c r="Q47" s="58"/>
    </row>
    <row r="48" spans="2:17" s="1" customFormat="1" ht="19.95" customHeight="1">
      <c r="B48" s="196" t="s">
        <v>32</v>
      </c>
      <c r="C48" s="112">
        <v>1</v>
      </c>
      <c r="D48" s="44" t="s">
        <v>35</v>
      </c>
      <c r="E48" s="49"/>
      <c r="F48" s="50"/>
      <c r="G48" s="14"/>
      <c r="H48" s="112">
        <v>1</v>
      </c>
      <c r="I48" s="116">
        <v>1.2</v>
      </c>
      <c r="J48" s="58">
        <v>0.8</v>
      </c>
      <c r="L48" s="57">
        <v>12.626197821250241</v>
      </c>
      <c r="M48" s="58">
        <v>13.62815324401793</v>
      </c>
      <c r="N48" s="57">
        <v>125.03721607171335</v>
      </c>
      <c r="O48" s="58">
        <v>126.03917149448105</v>
      </c>
      <c r="P48" s="57"/>
      <c r="Q48" s="58"/>
    </row>
    <row r="49" spans="2:56" s="1" customFormat="1" ht="19.95" customHeight="1">
      <c r="B49" s="199" t="s">
        <v>50</v>
      </c>
      <c r="C49" s="193">
        <v>0.05</v>
      </c>
      <c r="D49" s="75" t="s">
        <v>13</v>
      </c>
      <c r="E49" s="76"/>
      <c r="F49" s="77"/>
      <c r="G49" s="20"/>
      <c r="H49" s="193">
        <v>0.05</v>
      </c>
      <c r="I49" s="192">
        <v>5.5E-2</v>
      </c>
      <c r="J49" s="194">
        <v>4.4999999999999998E-2</v>
      </c>
      <c r="L49" s="36"/>
      <c r="M49" s="37"/>
      <c r="N49" s="152">
        <v>123.86553294174003</v>
      </c>
      <c r="O49" s="153">
        <v>127.21085462445436</v>
      </c>
      <c r="P49" s="65"/>
      <c r="Q49" s="66"/>
    </row>
    <row r="50" spans="2:56" s="1" customFormat="1" ht="19.95" customHeight="1">
      <c r="B50" s="200" t="s">
        <v>51</v>
      </c>
      <c r="C50" s="85">
        <v>0.2</v>
      </c>
      <c r="D50" s="86"/>
      <c r="E50" s="86"/>
      <c r="F50" s="91"/>
      <c r="G50" s="191" t="b">
        <v>0</v>
      </c>
      <c r="H50" s="85">
        <v>0.2</v>
      </c>
      <c r="I50" s="95">
        <v>0.6</v>
      </c>
      <c r="J50" s="96">
        <v>0</v>
      </c>
      <c r="L50" s="36"/>
      <c r="M50" s="37"/>
      <c r="N50" s="36"/>
      <c r="O50" s="37"/>
      <c r="P50" s="103"/>
      <c r="Q50" s="104"/>
    </row>
    <row r="51" spans="2:56" s="1" customFormat="1" ht="19.95" customHeight="1">
      <c r="B51" s="200" t="s">
        <v>52</v>
      </c>
      <c r="C51" s="113">
        <v>0.5</v>
      </c>
      <c r="D51" s="87" t="s">
        <v>35</v>
      </c>
      <c r="E51" s="86"/>
      <c r="F51" s="88"/>
      <c r="G51" s="14"/>
      <c r="H51" s="113">
        <v>0.5</v>
      </c>
      <c r="I51" s="114">
        <v>0.75</v>
      </c>
      <c r="J51" s="115">
        <v>0.4</v>
      </c>
      <c r="L51" s="36"/>
      <c r="M51" s="37"/>
      <c r="N51" s="36"/>
      <c r="O51" s="37"/>
      <c r="P51" s="103"/>
      <c r="Q51" s="104"/>
    </row>
    <row r="52" spans="2:56" s="1" customFormat="1" ht="19.95" customHeight="1">
      <c r="B52" s="200" t="s">
        <v>53</v>
      </c>
      <c r="C52" s="97">
        <v>0.01</v>
      </c>
      <c r="D52" s="89" t="s">
        <v>13</v>
      </c>
      <c r="E52" s="90"/>
      <c r="F52" s="91"/>
      <c r="G52" s="20"/>
      <c r="H52" s="97">
        <v>0.01</v>
      </c>
      <c r="I52" s="98">
        <v>0.02</v>
      </c>
      <c r="J52" s="99">
        <v>0.01</v>
      </c>
      <c r="L52" s="36"/>
      <c r="M52" s="37"/>
      <c r="N52" s="36"/>
      <c r="O52" s="37"/>
      <c r="P52" s="103"/>
      <c r="Q52" s="104"/>
    </row>
    <row r="53" spans="2:56" s="1" customFormat="1" ht="19.95" customHeight="1">
      <c r="B53" s="200" t="s">
        <v>17</v>
      </c>
      <c r="C53" s="203">
        <v>1E-3</v>
      </c>
      <c r="D53" s="92" t="s">
        <v>13</v>
      </c>
      <c r="E53" s="93" t="s">
        <v>25</v>
      </c>
      <c r="F53" s="94"/>
      <c r="G53" s="21"/>
      <c r="H53" s="100">
        <v>1E-3</v>
      </c>
      <c r="I53" s="101">
        <v>6.9999999999999999E-4</v>
      </c>
      <c r="J53" s="102">
        <v>1.6000000000000001E-3</v>
      </c>
      <c r="L53" s="38"/>
      <c r="M53" s="39"/>
      <c r="N53" s="38"/>
      <c r="O53" s="39"/>
      <c r="P53" s="105"/>
      <c r="Q53" s="106"/>
    </row>
    <row r="54" spans="2:56" s="1" customFormat="1" ht="19.95" customHeight="1">
      <c r="B54" s="201" t="s">
        <v>18</v>
      </c>
      <c r="C54" s="154">
        <v>7.0000000000000007E-2</v>
      </c>
      <c r="D54" s="155"/>
      <c r="E54" s="155"/>
      <c r="F54" s="156"/>
      <c r="H54" s="78"/>
      <c r="I54" s="78"/>
      <c r="J54" s="78"/>
      <c r="K54" s="78"/>
      <c r="L54" s="78"/>
      <c r="M54" s="78"/>
      <c r="N54" s="78"/>
      <c r="O54" s="78"/>
      <c r="P54" s="78"/>
    </row>
    <row r="55" spans="2:56" s="1" customFormat="1" ht="19.95" customHeight="1">
      <c r="B55" s="18"/>
      <c r="S55" s="78"/>
    </row>
    <row r="56" spans="2:56" ht="19.95" customHeight="1"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2:56" ht="19.95" customHeight="1">
      <c r="B57" s="17" t="s">
        <v>143</v>
      </c>
      <c r="C57" s="120" t="s">
        <v>112</v>
      </c>
      <c r="D57" s="119">
        <v>125.5381937830972</v>
      </c>
    </row>
    <row r="58" spans="2:56" ht="19.95" customHeight="1">
      <c r="B58" s="160"/>
      <c r="C58" s="161" t="s">
        <v>65</v>
      </c>
      <c r="D58" s="161"/>
      <c r="E58" s="160"/>
      <c r="F58" s="161" t="s">
        <v>66</v>
      </c>
      <c r="G58" s="160"/>
      <c r="H58" s="160"/>
      <c r="I58" s="161" t="s">
        <v>67</v>
      </c>
      <c r="J58" s="160"/>
      <c r="S58" s="3"/>
      <c r="BD58" s="1"/>
    </row>
    <row r="59" spans="2:56" ht="19.95" customHeight="1">
      <c r="B59" s="162" t="s">
        <v>68</v>
      </c>
      <c r="C59" s="162" t="s">
        <v>69</v>
      </c>
      <c r="D59" s="162"/>
      <c r="E59" s="163" t="s">
        <v>69</v>
      </c>
      <c r="F59" s="163" t="s">
        <v>111</v>
      </c>
      <c r="G59" s="163" t="s">
        <v>70</v>
      </c>
      <c r="H59" s="163" t="s">
        <v>69</v>
      </c>
      <c r="I59" s="163" t="s">
        <v>111</v>
      </c>
      <c r="J59" s="163" t="s">
        <v>70</v>
      </c>
      <c r="S59" s="3"/>
      <c r="BD59" s="1"/>
    </row>
    <row r="60" spans="2:56" ht="19.95" customHeight="1">
      <c r="B60" s="164" t="s">
        <v>71</v>
      </c>
      <c r="C60" s="164" t="s">
        <v>72</v>
      </c>
      <c r="D60" s="164"/>
      <c r="E60" s="165" t="s">
        <v>90</v>
      </c>
      <c r="F60" s="166">
        <f t="shared" ref="F60:F66" si="6">N42</f>
        <v>123.62272251331807</v>
      </c>
      <c r="G60" s="167">
        <f t="shared" ref="G60:G75" si="7">(F60-$D$57)/$D$57</f>
        <v>-1.5258075746164166E-2</v>
      </c>
      <c r="H60" s="165" t="s">
        <v>74</v>
      </c>
      <c r="I60" s="168">
        <f t="shared" ref="I60:I66" si="8">O42</f>
        <v>126.49592941798677</v>
      </c>
      <c r="J60" s="167">
        <f t="shared" ref="J60:J75" si="9">(I60-$D$57)/$D$57</f>
        <v>7.6290378730821395E-3</v>
      </c>
      <c r="S60" s="3"/>
      <c r="BD60" s="1"/>
    </row>
    <row r="61" spans="2:56" ht="19.95" customHeight="1">
      <c r="B61" s="164" t="s">
        <v>73</v>
      </c>
      <c r="C61" s="164" t="s">
        <v>74</v>
      </c>
      <c r="D61" s="164"/>
      <c r="E61" s="165" t="s">
        <v>72</v>
      </c>
      <c r="F61" s="166">
        <f t="shared" si="6"/>
        <v>124.59707189061584</v>
      </c>
      <c r="G61" s="167">
        <f t="shared" si="7"/>
        <v>-7.4966977309504487E-3</v>
      </c>
      <c r="H61" s="165" t="s">
        <v>95</v>
      </c>
      <c r="I61" s="168">
        <f t="shared" si="8"/>
        <v>126.47931567557856</v>
      </c>
      <c r="J61" s="167">
        <f t="shared" si="9"/>
        <v>7.4966977309504487E-3</v>
      </c>
      <c r="S61" s="3"/>
      <c r="BD61" s="1"/>
    </row>
    <row r="62" spans="2:56" ht="19.95" customHeight="1">
      <c r="B62" s="164" t="s">
        <v>75</v>
      </c>
      <c r="C62" s="164" t="s">
        <v>76</v>
      </c>
      <c r="D62" s="164"/>
      <c r="E62" s="165" t="s">
        <v>91</v>
      </c>
      <c r="F62" s="166">
        <f t="shared" si="6"/>
        <v>125.0757260226641</v>
      </c>
      <c r="G62" s="167">
        <f t="shared" si="7"/>
        <v>-3.6838809488699818E-3</v>
      </c>
      <c r="H62" s="165" t="s">
        <v>96</v>
      </c>
      <c r="I62" s="168">
        <f t="shared" si="8"/>
        <v>126.0006615435303</v>
      </c>
      <c r="J62" s="167">
        <f t="shared" si="9"/>
        <v>3.6838809488699818E-3</v>
      </c>
      <c r="S62" s="3"/>
      <c r="BD62" s="1"/>
    </row>
    <row r="63" spans="2:56" ht="19.95" customHeight="1">
      <c r="B63" s="164" t="s">
        <v>77</v>
      </c>
      <c r="C63" s="164" t="s">
        <v>78</v>
      </c>
      <c r="D63" s="164"/>
      <c r="E63" s="165" t="s">
        <v>92</v>
      </c>
      <c r="F63" s="166">
        <f t="shared" si="6"/>
        <v>120.91351617876619</v>
      </c>
      <c r="G63" s="167">
        <f t="shared" si="7"/>
        <v>-3.6838809488699935E-2</v>
      </c>
      <c r="H63" s="165" t="s">
        <v>97</v>
      </c>
      <c r="I63" s="168">
        <f t="shared" si="8"/>
        <v>127.3880648248296</v>
      </c>
      <c r="J63" s="167">
        <f t="shared" si="9"/>
        <v>1.4735523795479927E-2</v>
      </c>
      <c r="S63" s="3"/>
      <c r="BD63" s="1"/>
    </row>
    <row r="64" spans="2:56" ht="19.95" customHeight="1">
      <c r="B64" s="164" t="s">
        <v>79</v>
      </c>
      <c r="C64" s="164" t="s">
        <v>80</v>
      </c>
      <c r="D64" s="164"/>
      <c r="E64" s="165" t="s">
        <v>93</v>
      </c>
      <c r="F64" s="166">
        <f t="shared" si="6"/>
        <v>122.80006559978852</v>
      </c>
      <c r="G64" s="167">
        <f t="shared" si="7"/>
        <v>-2.1811116607584516E-2</v>
      </c>
      <c r="H64" s="165" t="s">
        <v>74</v>
      </c>
      <c r="I64" s="168">
        <f t="shared" si="8"/>
        <v>128.27632196640587</v>
      </c>
      <c r="J64" s="167">
        <f t="shared" si="9"/>
        <v>2.1811116607584516E-2</v>
      </c>
      <c r="S64" s="3"/>
      <c r="BD64" s="1"/>
    </row>
    <row r="65" spans="1:56" ht="19.95" customHeight="1">
      <c r="B65" s="164" t="s">
        <v>132</v>
      </c>
      <c r="C65" s="164" t="s">
        <v>81</v>
      </c>
      <c r="D65" s="164"/>
      <c r="E65" s="169">
        <v>60</v>
      </c>
      <c r="F65" s="166">
        <f t="shared" si="6"/>
        <v>122.66493749630251</v>
      </c>
      <c r="G65" s="167">
        <f t="shared" si="7"/>
        <v>-2.2887506982608413E-2</v>
      </c>
      <c r="H65" s="169">
        <v>50</v>
      </c>
      <c r="I65" s="168">
        <f t="shared" si="8"/>
        <v>128.41145006989186</v>
      </c>
      <c r="J65" s="167">
        <f t="shared" si="9"/>
        <v>2.2887506982608188E-2</v>
      </c>
      <c r="S65" s="3"/>
      <c r="BD65" s="1"/>
    </row>
    <row r="66" spans="1:56" ht="19.95" customHeight="1">
      <c r="B66" s="164" t="s">
        <v>82</v>
      </c>
      <c r="C66" s="164" t="s">
        <v>83</v>
      </c>
      <c r="D66" s="164"/>
      <c r="E66" s="165" t="s">
        <v>94</v>
      </c>
      <c r="F66" s="166">
        <f t="shared" si="6"/>
        <v>125.03721607171335</v>
      </c>
      <c r="G66" s="167">
        <f t="shared" si="7"/>
        <v>-3.9906397908626504E-3</v>
      </c>
      <c r="H66" s="165" t="s">
        <v>108</v>
      </c>
      <c r="I66" s="168">
        <f t="shared" si="8"/>
        <v>126.03917149448105</v>
      </c>
      <c r="J66" s="167">
        <f t="shared" si="9"/>
        <v>3.9906397908626504E-3</v>
      </c>
      <c r="S66" s="3"/>
      <c r="BD66" s="1"/>
    </row>
    <row r="67" spans="1:56" ht="19.95" customHeight="1">
      <c r="B67" s="164" t="s">
        <v>98</v>
      </c>
      <c r="C67" s="164" t="s">
        <v>84</v>
      </c>
      <c r="D67" s="164"/>
      <c r="E67" s="165" t="s">
        <v>109</v>
      </c>
      <c r="F67" s="168">
        <f>N35</f>
        <v>44.845136157433444</v>
      </c>
      <c r="G67" s="167">
        <f t="shared" si="7"/>
        <v>-0.64277695252716383</v>
      </c>
      <c r="H67" s="165" t="s">
        <v>110</v>
      </c>
      <c r="I67" s="168">
        <f>O35</f>
        <v>165.88472259592905</v>
      </c>
      <c r="J67" s="167">
        <f t="shared" si="9"/>
        <v>0.32138847626358164</v>
      </c>
      <c r="S67" s="3"/>
      <c r="BD67" s="1"/>
    </row>
    <row r="68" spans="1:56" ht="19.95" customHeight="1">
      <c r="B68" s="164" t="s">
        <v>99</v>
      </c>
      <c r="C68" s="164" t="s">
        <v>85</v>
      </c>
      <c r="D68" s="164"/>
      <c r="E68" s="170">
        <v>-0.05</v>
      </c>
      <c r="F68" s="168">
        <f>N34</f>
        <v>105.91256722106003</v>
      </c>
      <c r="G68" s="167">
        <f t="shared" si="7"/>
        <v>-0.15633191756722262</v>
      </c>
      <c r="H68" s="170">
        <v>0.25</v>
      </c>
      <c r="I68" s="168">
        <f>O34</f>
        <v>136.05983040878687</v>
      </c>
      <c r="J68" s="167">
        <f t="shared" si="9"/>
        <v>8.3812235214000094E-2</v>
      </c>
      <c r="S68" s="3"/>
      <c r="BD68" s="1"/>
    </row>
    <row r="69" spans="1:56" ht="19.95" customHeight="1">
      <c r="B69" s="164" t="s">
        <v>100</v>
      </c>
      <c r="C69" s="164" t="s">
        <v>86</v>
      </c>
      <c r="D69" s="164"/>
      <c r="E69" s="169">
        <v>225</v>
      </c>
      <c r="F69" s="168">
        <f>N36</f>
        <v>114.69076276215027</v>
      </c>
      <c r="G69" s="167">
        <f t="shared" si="7"/>
        <v>-8.640741669175947E-2</v>
      </c>
      <c r="H69" s="169">
        <v>295</v>
      </c>
      <c r="I69" s="168">
        <f>O36</f>
        <v>136.38562480404414</v>
      </c>
      <c r="J69" s="167">
        <f t="shared" si="9"/>
        <v>8.6407416691759581E-2</v>
      </c>
      <c r="S69" s="3"/>
      <c r="BD69" s="1"/>
    </row>
    <row r="70" spans="1:56" ht="19.95" customHeight="1">
      <c r="B70" s="164" t="s">
        <v>101</v>
      </c>
      <c r="C70" s="164" t="s">
        <v>89</v>
      </c>
      <c r="D70" s="164"/>
      <c r="E70" s="170">
        <v>-0.15</v>
      </c>
      <c r="F70" s="168">
        <f>N38</f>
        <v>121.24590981691014</v>
      </c>
      <c r="G70" s="167">
        <f t="shared" si="7"/>
        <v>-3.4191060400336759E-2</v>
      </c>
      <c r="H70" s="170">
        <v>0.05</v>
      </c>
      <c r="I70" s="168">
        <f>O38</f>
        <v>139.37526980168602</v>
      </c>
      <c r="J70" s="167">
        <f t="shared" si="9"/>
        <v>0.11022204160827968</v>
      </c>
      <c r="S70" s="3"/>
      <c r="BD70" s="1"/>
    </row>
    <row r="71" spans="1:56" ht="19.95" customHeight="1">
      <c r="B71" s="164" t="s">
        <v>133</v>
      </c>
      <c r="C71" s="164" t="s">
        <v>134</v>
      </c>
      <c r="D71" s="164"/>
      <c r="E71" s="171">
        <v>5.5E-2</v>
      </c>
      <c r="F71" s="168">
        <f>N49</f>
        <v>123.86553294174003</v>
      </c>
      <c r="G71" s="167">
        <f t="shared" si="7"/>
        <v>-1.3323919923901141E-2</v>
      </c>
      <c r="H71" s="171">
        <v>4.4999999999999998E-2</v>
      </c>
      <c r="I71" s="168">
        <f>O49</f>
        <v>127.21085462445436</v>
      </c>
      <c r="J71" s="167">
        <f t="shared" si="9"/>
        <v>1.3323919923901027E-2</v>
      </c>
      <c r="S71" s="3"/>
      <c r="BD71" s="1"/>
    </row>
    <row r="72" spans="1:56" ht="19.95" customHeight="1">
      <c r="B72" s="164" t="s">
        <v>102</v>
      </c>
      <c r="C72" s="164" t="s">
        <v>103</v>
      </c>
      <c r="D72" s="164"/>
      <c r="E72" s="165">
        <v>250</v>
      </c>
      <c r="F72" s="168">
        <f>N39</f>
        <v>83.384061939173534</v>
      </c>
      <c r="G72" s="167">
        <f t="shared" si="7"/>
        <v>-0.3357873056287306</v>
      </c>
      <c r="H72" s="165">
        <v>600</v>
      </c>
      <c r="I72" s="168">
        <f>O39</f>
        <v>181.74370290832874</v>
      </c>
      <c r="J72" s="167">
        <f t="shared" si="9"/>
        <v>0.44771640750497405</v>
      </c>
      <c r="S72" s="3"/>
      <c r="BD72" s="1"/>
    </row>
    <row r="73" spans="1:56" ht="19.95" customHeight="1">
      <c r="B73" s="164" t="s">
        <v>104</v>
      </c>
      <c r="C73" s="164" t="s">
        <v>105</v>
      </c>
      <c r="D73" s="164"/>
      <c r="E73" s="172">
        <v>0.55000000000000004</v>
      </c>
      <c r="F73" s="168">
        <f>N40</f>
        <v>114.77672489442763</v>
      </c>
      <c r="G73" s="167">
        <f t="shared" si="7"/>
        <v>-8.5722667854079976E-2</v>
      </c>
      <c r="H73" s="172">
        <v>0.7</v>
      </c>
      <c r="I73" s="168">
        <f>O40</f>
        <v>147.06113156043631</v>
      </c>
      <c r="J73" s="167">
        <f t="shared" si="9"/>
        <v>0.17144533570815973</v>
      </c>
      <c r="S73" s="3"/>
      <c r="BD73" s="1"/>
    </row>
    <row r="74" spans="1:56" ht="19.95" customHeight="1">
      <c r="B74" s="164" t="s">
        <v>106</v>
      </c>
      <c r="C74" s="164" t="s">
        <v>107</v>
      </c>
      <c r="D74" s="164"/>
      <c r="E74" s="173">
        <v>0</v>
      </c>
      <c r="F74" s="168">
        <f>N41</f>
        <v>116.83214769677846</v>
      </c>
      <c r="G74" s="167">
        <f t="shared" si="7"/>
        <v>-6.9349779728079389E-2</v>
      </c>
      <c r="H74" s="173">
        <v>0.05</v>
      </c>
      <c r="I74" s="168">
        <f>O41</f>
        <v>125.5381937830972</v>
      </c>
      <c r="J74" s="167">
        <f t="shared" si="9"/>
        <v>0</v>
      </c>
      <c r="S74" s="3"/>
      <c r="BD74" s="1"/>
    </row>
    <row r="75" spans="1:56" ht="19.95" customHeight="1">
      <c r="B75" s="164" t="s">
        <v>87</v>
      </c>
      <c r="C75" s="164" t="s">
        <v>88</v>
      </c>
      <c r="D75" s="164"/>
      <c r="E75" s="173">
        <v>0.5</v>
      </c>
      <c r="F75" s="166">
        <f>N37</f>
        <v>90.585103313157106</v>
      </c>
      <c r="G75" s="167">
        <f t="shared" si="7"/>
        <v>-0.27842594685033834</v>
      </c>
      <c r="H75" s="173">
        <v>0.35</v>
      </c>
      <c r="I75" s="166">
        <f>O37</f>
        <v>143.01473901806725</v>
      </c>
      <c r="J75" s="167">
        <f t="shared" si="9"/>
        <v>0.13921297342516917</v>
      </c>
      <c r="S75" s="3"/>
      <c r="BD75" s="1"/>
    </row>
    <row r="77" spans="1:56" ht="19.95" customHeight="1">
      <c r="B77" s="17" t="s">
        <v>142</v>
      </c>
      <c r="D77" s="120"/>
      <c r="E77" s="119"/>
      <c r="H77" s="122"/>
      <c r="R77" s="1"/>
      <c r="S77" s="3"/>
      <c r="BC77" s="3"/>
    </row>
    <row r="78" spans="1:56" s="125" customFormat="1" ht="19.95" customHeight="1">
      <c r="A78" s="123"/>
      <c r="B78" s="126" t="s">
        <v>68</v>
      </c>
      <c r="C78" s="127" t="s">
        <v>113</v>
      </c>
      <c r="D78" s="128" t="s">
        <v>114</v>
      </c>
      <c r="E78" s="121" t="s">
        <v>70</v>
      </c>
      <c r="F78" s="121" t="s">
        <v>70</v>
      </c>
      <c r="G78" s="121" t="s">
        <v>135</v>
      </c>
      <c r="I78" s="180" t="s">
        <v>117</v>
      </c>
      <c r="J78" s="184"/>
      <c r="K78" s="184"/>
      <c r="L78" s="184"/>
      <c r="M78" s="184"/>
      <c r="N78" s="184"/>
      <c r="O78" s="185"/>
      <c r="P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</row>
    <row r="79" spans="1:56" s="125" customFormat="1" ht="19.95" customHeight="1">
      <c r="A79" s="123"/>
      <c r="B79" s="129" t="s">
        <v>98</v>
      </c>
      <c r="C79" s="130">
        <v>44.845136157433444</v>
      </c>
      <c r="D79" s="131">
        <v>165.88472259592905</v>
      </c>
      <c r="E79" s="124">
        <v>-0.64277695252716383</v>
      </c>
      <c r="F79" s="124">
        <v>0.32138847626358164</v>
      </c>
      <c r="G79" s="135">
        <f t="shared" ref="G79:G94" si="10">D79-C79</f>
        <v>121.0395864384956</v>
      </c>
      <c r="I79" s="181" t="s">
        <v>130</v>
      </c>
      <c r="J79" s="123"/>
      <c r="K79" s="123"/>
      <c r="L79" s="123"/>
      <c r="M79" s="123"/>
      <c r="N79" s="123"/>
      <c r="O79" s="186"/>
      <c r="P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</row>
    <row r="80" spans="1:56" s="125" customFormat="1" ht="19.95" customHeight="1">
      <c r="A80" s="123"/>
      <c r="B80" s="129" t="s">
        <v>102</v>
      </c>
      <c r="C80" s="130">
        <v>83.384061939173534</v>
      </c>
      <c r="D80" s="131">
        <v>181.74370290832874</v>
      </c>
      <c r="E80" s="124">
        <v>-0.3357873056287306</v>
      </c>
      <c r="F80" s="124">
        <v>0.44771640750497405</v>
      </c>
      <c r="G80" s="135">
        <f t="shared" si="10"/>
        <v>98.359640969155208</v>
      </c>
      <c r="I80" s="181" t="s">
        <v>123</v>
      </c>
      <c r="J80" s="123"/>
      <c r="K80" s="123"/>
      <c r="L80" s="123"/>
      <c r="M80" s="123"/>
      <c r="N80" s="123"/>
      <c r="O80" s="186"/>
      <c r="P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</row>
    <row r="81" spans="1:55" s="125" customFormat="1" ht="19.95" customHeight="1">
      <c r="A81" s="123"/>
      <c r="B81" s="129" t="s">
        <v>87</v>
      </c>
      <c r="C81" s="130">
        <v>90.585103313157106</v>
      </c>
      <c r="D81" s="131">
        <v>143.01473901806725</v>
      </c>
      <c r="E81" s="124">
        <v>-0.27842594685033834</v>
      </c>
      <c r="F81" s="124">
        <v>0.13921297342516917</v>
      </c>
      <c r="G81" s="135">
        <f t="shared" si="10"/>
        <v>52.42963570491014</v>
      </c>
      <c r="I81" s="181" t="s">
        <v>131</v>
      </c>
      <c r="J81" s="123"/>
      <c r="K81" s="123"/>
      <c r="L81" s="123"/>
      <c r="M81" s="123"/>
      <c r="N81" s="123"/>
      <c r="O81" s="186"/>
      <c r="P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</row>
    <row r="82" spans="1:55" s="125" customFormat="1" ht="19.95" customHeight="1">
      <c r="A82" s="123"/>
      <c r="B82" s="129" t="s">
        <v>104</v>
      </c>
      <c r="C82" s="130">
        <v>114.77672489442763</v>
      </c>
      <c r="D82" s="131">
        <v>147.06113156043631</v>
      </c>
      <c r="E82" s="124">
        <v>-8.5722667854079976E-2</v>
      </c>
      <c r="F82" s="124">
        <v>0.17144533570815973</v>
      </c>
      <c r="G82" s="135">
        <f t="shared" si="10"/>
        <v>32.284406666008678</v>
      </c>
      <c r="I82" s="181" t="s">
        <v>120</v>
      </c>
      <c r="J82" s="123"/>
      <c r="K82" s="123"/>
      <c r="L82" s="123"/>
      <c r="M82" s="123"/>
      <c r="N82" s="123"/>
      <c r="O82" s="186"/>
      <c r="P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3"/>
    </row>
    <row r="83" spans="1:55" s="125" customFormat="1" ht="19.95" customHeight="1">
      <c r="A83" s="123"/>
      <c r="B83" s="129" t="s">
        <v>99</v>
      </c>
      <c r="C83" s="130">
        <v>105.91256722106003</v>
      </c>
      <c r="D83" s="131">
        <v>136.05983040878687</v>
      </c>
      <c r="E83" s="124">
        <v>-0.15633191756722262</v>
      </c>
      <c r="F83" s="124">
        <v>8.3812235214000094E-2</v>
      </c>
      <c r="G83" s="135">
        <f t="shared" si="10"/>
        <v>30.147263187726836</v>
      </c>
      <c r="I83" s="181" t="s">
        <v>121</v>
      </c>
      <c r="J83" s="123"/>
      <c r="K83" s="123"/>
      <c r="L83" s="123"/>
      <c r="M83" s="123"/>
      <c r="N83" s="123"/>
      <c r="O83" s="186"/>
      <c r="P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</row>
    <row r="84" spans="1:55" s="125" customFormat="1" ht="19.95" customHeight="1">
      <c r="A84" s="123"/>
      <c r="B84" s="129" t="s">
        <v>100</v>
      </c>
      <c r="C84" s="130">
        <v>114.69076276215027</v>
      </c>
      <c r="D84" s="131">
        <v>136.38562480404414</v>
      </c>
      <c r="E84" s="124">
        <v>-8.640741669175947E-2</v>
      </c>
      <c r="F84" s="124">
        <v>8.6407416691759581E-2</v>
      </c>
      <c r="G84" s="135">
        <f t="shared" si="10"/>
        <v>21.69486204189387</v>
      </c>
      <c r="I84" s="181" t="s">
        <v>122</v>
      </c>
      <c r="J84" s="123"/>
      <c r="K84" s="123"/>
      <c r="L84" s="123"/>
      <c r="M84" s="123"/>
      <c r="N84" s="123"/>
      <c r="O84" s="186"/>
      <c r="P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</row>
    <row r="85" spans="1:55" s="125" customFormat="1" ht="19.95" customHeight="1">
      <c r="A85" s="123"/>
      <c r="B85" s="129" t="s">
        <v>101</v>
      </c>
      <c r="C85" s="130">
        <v>121.24590981691014</v>
      </c>
      <c r="D85" s="131">
        <v>139.37526980168602</v>
      </c>
      <c r="E85" s="124">
        <v>-3.4191060400336759E-2</v>
      </c>
      <c r="F85" s="124">
        <v>0.11022204160827968</v>
      </c>
      <c r="G85" s="135">
        <f t="shared" si="10"/>
        <v>18.129359984775874</v>
      </c>
      <c r="I85" s="181" t="s">
        <v>124</v>
      </c>
      <c r="J85" s="123"/>
      <c r="K85" s="123"/>
      <c r="L85" s="123"/>
      <c r="M85" s="123"/>
      <c r="N85" s="123"/>
      <c r="O85" s="186"/>
      <c r="P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</row>
    <row r="86" spans="1:55" s="125" customFormat="1" ht="19.95" customHeight="1">
      <c r="A86" s="123"/>
      <c r="B86" s="129" t="s">
        <v>106</v>
      </c>
      <c r="C86" s="130">
        <v>116.83214769677846</v>
      </c>
      <c r="D86" s="131">
        <v>125.5381937830972</v>
      </c>
      <c r="E86" s="124">
        <v>-6.9349779728079389E-2</v>
      </c>
      <c r="F86" s="124">
        <v>0</v>
      </c>
      <c r="G86" s="135">
        <f t="shared" si="10"/>
        <v>8.7060460863187359</v>
      </c>
      <c r="I86" s="181" t="s">
        <v>118</v>
      </c>
      <c r="J86" s="123"/>
      <c r="K86" s="123"/>
      <c r="L86" s="123"/>
      <c r="M86" s="123"/>
      <c r="N86" s="123"/>
      <c r="O86" s="186"/>
      <c r="P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</row>
    <row r="87" spans="1:55" s="125" customFormat="1" ht="19.95" customHeight="1">
      <c r="A87" s="123"/>
      <c r="B87" s="129" t="s">
        <v>77</v>
      </c>
      <c r="C87" s="130">
        <v>120.91351617876619</v>
      </c>
      <c r="D87" s="131">
        <v>127.3880648248296</v>
      </c>
      <c r="E87" s="124">
        <v>-3.6838809488699935E-2</v>
      </c>
      <c r="F87" s="124">
        <v>1.4735523795479927E-2</v>
      </c>
      <c r="G87" s="135">
        <f t="shared" si="10"/>
        <v>6.4745486460634112</v>
      </c>
      <c r="I87" s="181" t="s">
        <v>119</v>
      </c>
      <c r="J87" s="123"/>
      <c r="K87" s="123"/>
      <c r="L87" s="123"/>
      <c r="M87" s="123"/>
      <c r="N87" s="123"/>
      <c r="O87" s="186"/>
      <c r="P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</row>
    <row r="88" spans="1:55" s="125" customFormat="1" ht="19.95" customHeight="1">
      <c r="A88" s="123"/>
      <c r="B88" s="129" t="s">
        <v>132</v>
      </c>
      <c r="C88" s="130">
        <v>122.66493749630251</v>
      </c>
      <c r="D88" s="131">
        <v>128.41145006989186</v>
      </c>
      <c r="E88" s="124">
        <v>-2.2887506982608413E-2</v>
      </c>
      <c r="F88" s="124">
        <v>2.2887506982608188E-2</v>
      </c>
      <c r="G88" s="135">
        <f t="shared" si="10"/>
        <v>5.7465125735893423</v>
      </c>
      <c r="I88" s="181" t="s">
        <v>125</v>
      </c>
      <c r="J88" s="123"/>
      <c r="K88" s="123"/>
      <c r="L88" s="123"/>
      <c r="M88" s="123"/>
      <c r="N88" s="123"/>
      <c r="O88" s="186"/>
      <c r="P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</row>
    <row r="89" spans="1:55" s="125" customFormat="1" ht="19.95" customHeight="1">
      <c r="A89" s="123"/>
      <c r="B89" s="129" t="s">
        <v>79</v>
      </c>
      <c r="C89" s="130">
        <v>122.80006559978852</v>
      </c>
      <c r="D89" s="131">
        <v>128.27632196640587</v>
      </c>
      <c r="E89" s="124">
        <v>-2.1811116607584516E-2</v>
      </c>
      <c r="F89" s="124">
        <v>2.1811116607584516E-2</v>
      </c>
      <c r="G89" s="135">
        <f t="shared" si="10"/>
        <v>5.4762563666173492</v>
      </c>
      <c r="I89" s="181" t="s">
        <v>126</v>
      </c>
      <c r="J89" s="123"/>
      <c r="K89" s="123"/>
      <c r="L89" s="123"/>
      <c r="M89" s="123"/>
      <c r="N89" s="123"/>
      <c r="O89" s="186"/>
      <c r="P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</row>
    <row r="90" spans="1:55" s="125" customFormat="1" ht="19.95" customHeight="1">
      <c r="A90" s="123"/>
      <c r="B90" s="129" t="s">
        <v>133</v>
      </c>
      <c r="C90" s="130">
        <v>123.86553294174003</v>
      </c>
      <c r="D90" s="131">
        <v>127.21085462445436</v>
      </c>
      <c r="E90" s="124">
        <v>-1.3323919923901141E-2</v>
      </c>
      <c r="F90" s="124">
        <v>1.3323919923901027E-2</v>
      </c>
      <c r="G90" s="135">
        <f t="shared" si="10"/>
        <v>3.3453216827143279</v>
      </c>
      <c r="I90" s="181" t="s">
        <v>127</v>
      </c>
      <c r="J90" s="123"/>
      <c r="K90" s="123"/>
      <c r="L90" s="123"/>
      <c r="M90" s="123"/>
      <c r="N90" s="123"/>
      <c r="O90" s="186"/>
      <c r="P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</row>
    <row r="91" spans="1:55" s="125" customFormat="1" ht="19.95" customHeight="1">
      <c r="A91" s="123"/>
      <c r="B91" s="129" t="s">
        <v>71</v>
      </c>
      <c r="C91" s="130">
        <v>123.62272251331807</v>
      </c>
      <c r="D91" s="131">
        <v>126.49592941798677</v>
      </c>
      <c r="E91" s="124">
        <v>-1.5258075746164166E-2</v>
      </c>
      <c r="F91" s="124">
        <v>7.6290378730821395E-3</v>
      </c>
      <c r="G91" s="135">
        <f t="shared" si="10"/>
        <v>2.8732069046687059</v>
      </c>
      <c r="I91" s="181" t="s">
        <v>128</v>
      </c>
      <c r="J91" s="123"/>
      <c r="K91" s="123"/>
      <c r="L91" s="123"/>
      <c r="M91" s="123"/>
      <c r="N91" s="123"/>
      <c r="O91" s="186"/>
      <c r="P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</row>
    <row r="92" spans="1:55" s="125" customFormat="1" ht="19.95" customHeight="1">
      <c r="A92" s="123"/>
      <c r="B92" s="129" t="s">
        <v>73</v>
      </c>
      <c r="C92" s="130">
        <v>124.59707189061584</v>
      </c>
      <c r="D92" s="131">
        <v>126.47931567557856</v>
      </c>
      <c r="E92" s="124">
        <v>-7.4966977309504487E-3</v>
      </c>
      <c r="F92" s="124">
        <v>7.4966977309504487E-3</v>
      </c>
      <c r="G92" s="135">
        <f t="shared" si="10"/>
        <v>1.8822437849627249</v>
      </c>
      <c r="I92" s="181" t="s">
        <v>129</v>
      </c>
      <c r="J92" s="123"/>
      <c r="K92" s="123"/>
      <c r="L92" s="123"/>
      <c r="M92" s="123"/>
      <c r="N92" s="123"/>
      <c r="O92" s="186"/>
      <c r="P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</row>
    <row r="93" spans="1:55" ht="19.95" customHeight="1">
      <c r="B93" s="129" t="s">
        <v>82</v>
      </c>
      <c r="C93" s="130">
        <v>125.03721607171335</v>
      </c>
      <c r="D93" s="131">
        <v>126.03917149448105</v>
      </c>
      <c r="E93" s="124">
        <v>-3.9906397908626504E-3</v>
      </c>
      <c r="F93" s="124">
        <v>3.9906397908626504E-3</v>
      </c>
      <c r="G93" s="135">
        <f t="shared" si="10"/>
        <v>1.0019554227677077</v>
      </c>
      <c r="I93" s="182" t="s">
        <v>115</v>
      </c>
      <c r="J93" s="1"/>
      <c r="K93" s="1"/>
      <c r="L93" s="1"/>
      <c r="M93" s="1"/>
      <c r="N93" s="1"/>
      <c r="O93" s="187"/>
      <c r="Q93" s="1"/>
      <c r="BB93" s="3"/>
      <c r="BC93" s="3"/>
    </row>
    <row r="94" spans="1:55" ht="19.95" customHeight="1">
      <c r="B94" s="132" t="s">
        <v>75</v>
      </c>
      <c r="C94" s="133">
        <v>125.0757260226641</v>
      </c>
      <c r="D94" s="134">
        <v>126.0006615435303</v>
      </c>
      <c r="E94" s="124">
        <v>-3.6838809488699818E-3</v>
      </c>
      <c r="F94" s="124">
        <v>3.6838809488699818E-3</v>
      </c>
      <c r="G94" s="135">
        <f t="shared" si="10"/>
        <v>0.92493552086619957</v>
      </c>
      <c r="I94" s="183" t="s">
        <v>116</v>
      </c>
      <c r="J94" s="188"/>
      <c r="K94" s="188"/>
      <c r="L94" s="188"/>
      <c r="M94" s="188"/>
      <c r="N94" s="188"/>
      <c r="O94" s="189"/>
      <c r="Q94" s="1"/>
      <c r="BB94" s="3"/>
      <c r="BC94" s="3"/>
    </row>
  </sheetData>
  <mergeCells count="13">
    <mergeCell ref="C32:F32"/>
    <mergeCell ref="C3:F3"/>
    <mergeCell ref="G3:J3"/>
    <mergeCell ref="K3:N3"/>
    <mergeCell ref="O3:R3"/>
    <mergeCell ref="L32:M32"/>
    <mergeCell ref="N32:O32"/>
    <mergeCell ref="P31:Q31"/>
    <mergeCell ref="P32:Q32"/>
    <mergeCell ref="L29:Q29"/>
    <mergeCell ref="H32:J32"/>
    <mergeCell ref="L31:M31"/>
    <mergeCell ref="N31:O31"/>
  </mergeCells>
  <phoneticPr fontId="18" type="noConversion"/>
  <pageMargins left="0.7" right="0.7" top="0.75" bottom="0.75" header="0.3" footer="0.3"/>
  <pageSetup scale="44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4</xdr:col>
                    <xdr:colOff>205740</xdr:colOff>
                    <xdr:row>39</xdr:row>
                    <xdr:rowOff>0</xdr:rowOff>
                  </from>
                  <to>
                    <xdr:col>6</xdr:col>
                    <xdr:colOff>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4</xdr:col>
                    <xdr:colOff>472440</xdr:colOff>
                    <xdr:row>49</xdr:row>
                    <xdr:rowOff>0</xdr:rowOff>
                  </from>
                  <to>
                    <xdr:col>6</xdr:col>
                    <xdr:colOff>0</xdr:colOff>
                    <xdr:row>49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Coffee Machine NPV Model</vt:lpstr>
      <vt:lpstr>'Coffee Machine NPV Model'!Print_Area</vt:lpstr>
    </vt:vector>
  </TitlesOfParts>
  <Company>MIT Sloan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Eppinger</dc:creator>
  <cp:lastModifiedBy>suresh varadarajan</cp:lastModifiedBy>
  <cp:lastPrinted>2014-10-07T12:52:48Z</cp:lastPrinted>
  <dcterms:created xsi:type="dcterms:W3CDTF">2013-04-16T23:56:06Z</dcterms:created>
  <dcterms:modified xsi:type="dcterms:W3CDTF">2023-10-17T04:51:34Z</dcterms:modified>
</cp:coreProperties>
</file>