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echung\Box\Chandrasekaran Lab\MATLAB\GEMs\"/>
    </mc:Choice>
  </mc:AlternateContent>
  <bookViews>
    <workbookView xWindow="0" yWindow="0" windowWidth="18000" windowHeight="10200" firstSheet="1" activeTab="2"/>
  </bookViews>
  <sheets>
    <sheet name="Annotation Legend" sheetId="6" r:id="rId1"/>
    <sheet name="GEM Default" sheetId="3" r:id="rId2"/>
    <sheet name="M9 + glucose" sheetId="4" r:id="rId3"/>
    <sheet name="LB" sheetId="10" r:id="rId4"/>
    <sheet name="Metadata (Zlitni)" sheetId="8" r:id="rId5"/>
    <sheet name="M9 (Zlitni)" sheetId="7" r:id="rId6"/>
    <sheet name="Supplements (Zlitni)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0" l="1"/>
  <c r="G3" i="10" s="1"/>
  <c r="I3" i="10" s="1"/>
  <c r="J3" i="10" s="1"/>
  <c r="F4" i="10"/>
  <c r="G4" i="10" s="1"/>
  <c r="I4" i="10" s="1"/>
  <c r="J4" i="10" s="1"/>
  <c r="F5" i="10"/>
  <c r="F6" i="10"/>
  <c r="G6" i="10" s="1"/>
  <c r="I6" i="10" s="1"/>
  <c r="J6" i="10" s="1"/>
  <c r="F7" i="10"/>
  <c r="F8" i="10"/>
  <c r="F9" i="10"/>
  <c r="G9" i="10" s="1"/>
  <c r="I9" i="10" s="1"/>
  <c r="J9" i="10" s="1"/>
  <c r="F10" i="10"/>
  <c r="F11" i="10"/>
  <c r="G11" i="10" s="1"/>
  <c r="I11" i="10" s="1"/>
  <c r="J11" i="10" s="1"/>
  <c r="F12" i="10"/>
  <c r="G12" i="10" s="1"/>
  <c r="I12" i="10" s="1"/>
  <c r="J12" i="10" s="1"/>
  <c r="F13" i="10"/>
  <c r="F14" i="10"/>
  <c r="G14" i="10" s="1"/>
  <c r="I14" i="10" s="1"/>
  <c r="J14" i="10" s="1"/>
  <c r="F15" i="10"/>
  <c r="F16" i="10"/>
  <c r="F17" i="10"/>
  <c r="G17" i="10" s="1"/>
  <c r="I17" i="10" s="1"/>
  <c r="J17" i="10" s="1"/>
  <c r="F18" i="10"/>
  <c r="F19" i="10"/>
  <c r="F20" i="10"/>
  <c r="G20" i="10" s="1"/>
  <c r="I20" i="10" s="1"/>
  <c r="J20" i="10" s="1"/>
  <c r="F21" i="10"/>
  <c r="G21" i="10" s="1"/>
  <c r="I21" i="10" s="1"/>
  <c r="J21" i="10" s="1"/>
  <c r="F22" i="10"/>
  <c r="G22" i="10" s="1"/>
  <c r="I22" i="10" s="1"/>
  <c r="J22" i="10" s="1"/>
  <c r="F23" i="10"/>
  <c r="F24" i="10"/>
  <c r="F25" i="10"/>
  <c r="F26" i="10"/>
  <c r="F2" i="10"/>
  <c r="G2" i="10" s="1"/>
  <c r="I2" i="10" s="1"/>
  <c r="J2" i="10" s="1"/>
  <c r="G10" i="10"/>
  <c r="I10" i="10" s="1"/>
  <c r="J10" i="10" s="1"/>
  <c r="G13" i="10"/>
  <c r="I13" i="10" s="1"/>
  <c r="J13" i="10" s="1"/>
  <c r="G16" i="10"/>
  <c r="I16" i="10" s="1"/>
  <c r="J16" i="10" s="1"/>
  <c r="G25" i="10"/>
  <c r="I25" i="10" s="1"/>
  <c r="J25" i="10" s="1"/>
  <c r="G5" i="10"/>
  <c r="I5" i="10" s="1"/>
  <c r="J5" i="10" s="1"/>
  <c r="G7" i="10"/>
  <c r="I7" i="10" s="1"/>
  <c r="J7" i="10" s="1"/>
  <c r="G8" i="10"/>
  <c r="I8" i="10" s="1"/>
  <c r="J8" i="10" s="1"/>
  <c r="G15" i="10"/>
  <c r="I15" i="10"/>
  <c r="J15" i="10" s="1"/>
  <c r="G18" i="10"/>
  <c r="I18" i="10" s="1"/>
  <c r="J18" i="10" s="1"/>
  <c r="G19" i="10"/>
  <c r="I19" i="10" s="1"/>
  <c r="J19" i="10" s="1"/>
  <c r="G23" i="10"/>
  <c r="I23" i="10" s="1"/>
  <c r="J23" i="10" s="1"/>
  <c r="G24" i="10"/>
  <c r="I24" i="10"/>
  <c r="J24" i="10" s="1"/>
  <c r="G26" i="10"/>
  <c r="I26" i="10" s="1"/>
  <c r="J26" i="10" s="1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27" i="10"/>
  <c r="I10" i="7" l="1"/>
  <c r="G10" i="7"/>
  <c r="L27" i="5" l="1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2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5" i="5"/>
  <c r="H10" i="5"/>
  <c r="H13" i="5"/>
  <c r="H18" i="5"/>
  <c r="H21" i="5"/>
  <c r="H26" i="5"/>
  <c r="F3" i="5"/>
  <c r="H3" i="5" s="1"/>
  <c r="F4" i="5"/>
  <c r="H4" i="5" s="1"/>
  <c r="F5" i="5"/>
  <c r="F6" i="5"/>
  <c r="H6" i="5" s="1"/>
  <c r="F7" i="5"/>
  <c r="H7" i="5" s="1"/>
  <c r="F8" i="5"/>
  <c r="H8" i="5" s="1"/>
  <c r="F9" i="5"/>
  <c r="H9" i="5" s="1"/>
  <c r="F10" i="5"/>
  <c r="F11" i="5"/>
  <c r="H11" i="5" s="1"/>
  <c r="F12" i="5"/>
  <c r="H12" i="5" s="1"/>
  <c r="F13" i="5"/>
  <c r="F14" i="5"/>
  <c r="H14" i="5" s="1"/>
  <c r="F15" i="5"/>
  <c r="H15" i="5" s="1"/>
  <c r="F16" i="5"/>
  <c r="H16" i="5" s="1"/>
  <c r="F17" i="5"/>
  <c r="H17" i="5" s="1"/>
  <c r="F18" i="5"/>
  <c r="F19" i="5"/>
  <c r="H19" i="5" s="1"/>
  <c r="F20" i="5"/>
  <c r="H20" i="5" s="1"/>
  <c r="F21" i="5"/>
  <c r="F22" i="5"/>
  <c r="H22" i="5" s="1"/>
  <c r="F23" i="5"/>
  <c r="H23" i="5" s="1"/>
  <c r="F24" i="5"/>
  <c r="H24" i="5" s="1"/>
  <c r="F25" i="5"/>
  <c r="H25" i="5" s="1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2" i="5"/>
  <c r="H2" i="5" s="1"/>
  <c r="F26" i="7"/>
  <c r="G26" i="7" s="1"/>
  <c r="I26" i="7" s="1"/>
  <c r="J26" i="7" s="1"/>
  <c r="F8" i="7"/>
  <c r="G8" i="7" s="1"/>
  <c r="I8" i="7" s="1"/>
  <c r="J8" i="7" s="1"/>
  <c r="F7" i="7"/>
  <c r="G7" i="7" s="1"/>
  <c r="I7" i="7" s="1"/>
  <c r="J7" i="7" s="1"/>
  <c r="F6" i="7"/>
  <c r="G6" i="7" s="1"/>
  <c r="I6" i="7" s="1"/>
  <c r="J6" i="7" s="1"/>
  <c r="F17" i="7"/>
  <c r="F6" i="4"/>
  <c r="G6" i="4" s="1"/>
  <c r="I6" i="4" s="1"/>
  <c r="J6" i="4" s="1"/>
  <c r="F7" i="4"/>
  <c r="G7" i="4" s="1"/>
  <c r="I7" i="4" s="1"/>
  <c r="J7" i="4" s="1"/>
  <c r="F26" i="4"/>
  <c r="G26" i="4" s="1"/>
  <c r="I26" i="4" s="1"/>
  <c r="J26" i="4" s="1"/>
  <c r="F8" i="4"/>
  <c r="G8" i="4" s="1"/>
  <c r="I8" i="4" s="1"/>
  <c r="J8" i="4" s="1"/>
  <c r="F15" i="4"/>
  <c r="G15" i="4" s="1"/>
  <c r="I15" i="4" s="1"/>
  <c r="J15" i="4" s="1"/>
  <c r="F16" i="4"/>
  <c r="G16" i="4" s="1"/>
  <c r="I16" i="4" s="1"/>
  <c r="J16" i="4" s="1"/>
  <c r="F19" i="4"/>
  <c r="G19" i="4" s="1"/>
  <c r="I19" i="4" s="1"/>
  <c r="J19" i="4" s="1"/>
  <c r="F10" i="3"/>
  <c r="F3" i="4"/>
  <c r="F14" i="7"/>
  <c r="G14" i="7" s="1"/>
  <c r="I14" i="7" s="1"/>
  <c r="J14" i="7" s="1"/>
  <c r="F19" i="7"/>
  <c r="F3" i="7"/>
  <c r="F16" i="7"/>
  <c r="G16" i="7" s="1"/>
  <c r="I16" i="7" s="1"/>
  <c r="J16" i="7" s="1"/>
  <c r="F15" i="7"/>
  <c r="G25" i="7"/>
  <c r="I25" i="7" s="1"/>
  <c r="J25" i="7" s="1"/>
  <c r="F24" i="7"/>
  <c r="G24" i="7" s="1"/>
  <c r="I24" i="7" s="1"/>
  <c r="J24" i="7" s="1"/>
  <c r="I23" i="7"/>
  <c r="J23" i="7" s="1"/>
  <c r="G23" i="7"/>
  <c r="G22" i="7"/>
  <c r="I22" i="7" s="1"/>
  <c r="J22" i="7" s="1"/>
  <c r="F21" i="7"/>
  <c r="G21" i="7" s="1"/>
  <c r="I21" i="7" s="1"/>
  <c r="J21" i="7" s="1"/>
  <c r="I20" i="7"/>
  <c r="J20" i="7" s="1"/>
  <c r="G20" i="7"/>
  <c r="G19" i="7"/>
  <c r="I19" i="7" s="1"/>
  <c r="J19" i="7" s="1"/>
  <c r="F18" i="7"/>
  <c r="G18" i="7" s="1"/>
  <c r="I18" i="7" s="1"/>
  <c r="J18" i="7" s="1"/>
  <c r="G17" i="7"/>
  <c r="I17" i="7" s="1"/>
  <c r="J17" i="7" s="1"/>
  <c r="G15" i="7"/>
  <c r="I15" i="7" s="1"/>
  <c r="J15" i="7" s="1"/>
  <c r="F13" i="7"/>
  <c r="G13" i="7" s="1"/>
  <c r="I13" i="7" s="1"/>
  <c r="J13" i="7" s="1"/>
  <c r="G12" i="7"/>
  <c r="I12" i="7" s="1"/>
  <c r="J12" i="7" s="1"/>
  <c r="G11" i="7"/>
  <c r="I11" i="7" s="1"/>
  <c r="J11" i="7" s="1"/>
  <c r="F11" i="7"/>
  <c r="G9" i="7"/>
  <c r="I9" i="7" s="1"/>
  <c r="J9" i="7" s="1"/>
  <c r="G5" i="7"/>
  <c r="I5" i="7" s="1"/>
  <c r="J5" i="7" s="1"/>
  <c r="F4" i="7"/>
  <c r="G4" i="7" s="1"/>
  <c r="I4" i="7" s="1"/>
  <c r="J4" i="7" s="1"/>
  <c r="G3" i="7"/>
  <c r="I3" i="7" s="1"/>
  <c r="J3" i="7" s="1"/>
  <c r="G2" i="7"/>
  <c r="I2" i="7" s="1"/>
  <c r="J2" i="7" s="1"/>
  <c r="F2" i="7"/>
  <c r="G2" i="4"/>
  <c r="I4" i="4"/>
  <c r="I5" i="4"/>
  <c r="I9" i="4"/>
  <c r="I11" i="4"/>
  <c r="I12" i="4"/>
  <c r="I13" i="4"/>
  <c r="I14" i="4"/>
  <c r="I17" i="4"/>
  <c r="I18" i="4"/>
  <c r="J18" i="4" s="1"/>
  <c r="I20" i="4"/>
  <c r="J20" i="4" s="1"/>
  <c r="I21" i="4"/>
  <c r="I24" i="4"/>
  <c r="J24" i="4" s="1"/>
  <c r="I2" i="4"/>
  <c r="J2" i="4" s="1"/>
  <c r="G3" i="4"/>
  <c r="I3" i="4" s="1"/>
  <c r="J3" i="4" s="1"/>
  <c r="G4" i="4"/>
  <c r="G5" i="4"/>
  <c r="G9" i="4"/>
  <c r="G10" i="4"/>
  <c r="I10" i="4" s="1"/>
  <c r="J10" i="4" s="1"/>
  <c r="G11" i="4"/>
  <c r="G12" i="4"/>
  <c r="G13" i="4"/>
  <c r="G14" i="4"/>
  <c r="G17" i="4"/>
  <c r="G18" i="4"/>
  <c r="G20" i="4"/>
  <c r="G21" i="4"/>
  <c r="G22" i="4"/>
  <c r="I22" i="4" s="1"/>
  <c r="J22" i="4" s="1"/>
  <c r="G23" i="4"/>
  <c r="I23" i="4" s="1"/>
  <c r="J23" i="4" s="1"/>
  <c r="G24" i="4"/>
  <c r="G25" i="4"/>
  <c r="I25" i="4" s="1"/>
  <c r="J25" i="4" s="1"/>
  <c r="J2" i="3"/>
  <c r="I3" i="3"/>
  <c r="J3" i="3" s="1"/>
  <c r="I4" i="3"/>
  <c r="J4" i="3" s="1"/>
  <c r="I5" i="3"/>
  <c r="I6" i="3"/>
  <c r="I7" i="3"/>
  <c r="J7" i="3" s="1"/>
  <c r="I8" i="3"/>
  <c r="J8" i="3" s="1"/>
  <c r="I9" i="3"/>
  <c r="J9" i="3" s="1"/>
  <c r="I11" i="3"/>
  <c r="J11" i="3" s="1"/>
  <c r="I12" i="3"/>
  <c r="J12" i="3" s="1"/>
  <c r="I13" i="3"/>
  <c r="I14" i="3"/>
  <c r="I15" i="3"/>
  <c r="J15" i="3" s="1"/>
  <c r="I16" i="3"/>
  <c r="J16" i="3" s="1"/>
  <c r="I17" i="3"/>
  <c r="J17" i="3" s="1"/>
  <c r="I18" i="3"/>
  <c r="J18" i="3" s="1"/>
  <c r="I19" i="3"/>
  <c r="J19" i="3" s="1"/>
  <c r="I20" i="3"/>
  <c r="J20" i="3" s="1"/>
  <c r="I21" i="3"/>
  <c r="I22" i="3"/>
  <c r="I23" i="3"/>
  <c r="J23" i="3" s="1"/>
  <c r="I24" i="3"/>
  <c r="J24" i="3" s="1"/>
  <c r="I25" i="3"/>
  <c r="J25" i="3" s="1"/>
  <c r="I26" i="3"/>
  <c r="J26" i="3" s="1"/>
  <c r="I2" i="3"/>
  <c r="G3" i="3"/>
  <c r="G4" i="3"/>
  <c r="G5" i="3"/>
  <c r="G6" i="3"/>
  <c r="G7" i="3"/>
  <c r="G8" i="3"/>
  <c r="G9" i="3"/>
  <c r="G10" i="3"/>
  <c r="I10" i="3" s="1"/>
  <c r="J10" i="3" s="1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" i="3"/>
  <c r="F24" i="4"/>
  <c r="F21" i="4"/>
  <c r="F18" i="4"/>
  <c r="F17" i="4"/>
  <c r="F14" i="4"/>
  <c r="F13" i="4"/>
  <c r="F11" i="4"/>
  <c r="F9" i="4"/>
  <c r="F4" i="4"/>
  <c r="F2" i="4"/>
  <c r="J21" i="4"/>
  <c r="J17" i="4"/>
  <c r="J14" i="4"/>
  <c r="J13" i="4"/>
  <c r="J12" i="4"/>
  <c r="J11" i="4"/>
  <c r="J9" i="4"/>
  <c r="J5" i="4"/>
  <c r="J4" i="4"/>
  <c r="J5" i="3"/>
  <c r="J6" i="3"/>
  <c r="J13" i="3"/>
  <c r="J14" i="3"/>
  <c r="J21" i="3"/>
  <c r="J22" i="3"/>
  <c r="J10" i="7" l="1"/>
</calcChain>
</file>

<file path=xl/comments1.xml><?xml version="1.0" encoding="utf-8"?>
<comments xmlns="http://schemas.openxmlformats.org/spreadsheetml/2006/main">
  <authors>
    <author>Chung, Carolina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Chung, Carolina:</t>
        </r>
        <r>
          <rPr>
            <sz val="9"/>
            <color indexed="81"/>
            <rFont val="Tahoma"/>
            <charset val="1"/>
          </rPr>
          <t xml:space="preserve">
Varma &amp; Palsson, 1994</t>
        </r>
      </text>
    </comment>
  </commentList>
</comments>
</file>

<file path=xl/sharedStrings.xml><?xml version="1.0" encoding="utf-8"?>
<sst xmlns="http://schemas.openxmlformats.org/spreadsheetml/2006/main" count="849" uniqueCount="325">
  <si>
    <t>Metabolite</t>
  </si>
  <si>
    <t>Reaction ID</t>
  </si>
  <si>
    <t>Reaction Name</t>
  </si>
  <si>
    <t>ug/mL</t>
  </si>
  <si>
    <t>LB</t>
  </si>
  <si>
    <t>alpha</t>
  </si>
  <si>
    <t>Adjusted LB</t>
  </si>
  <si>
    <t>g/L</t>
  </si>
  <si>
    <t>Hydrogen</t>
  </si>
  <si>
    <t>Oxygen</t>
  </si>
  <si>
    <t>Sodium</t>
  </si>
  <si>
    <t>Chlorine</t>
  </si>
  <si>
    <t>Potassium</t>
  </si>
  <si>
    <t>mol/L</t>
  </si>
  <si>
    <t>Water</t>
  </si>
  <si>
    <t>Phosphate</t>
  </si>
  <si>
    <t>Formula</t>
  </si>
  <si>
    <t>H2O</t>
  </si>
  <si>
    <t>CO2</t>
  </si>
  <si>
    <t>Fe2+</t>
  </si>
  <si>
    <t>PO43-</t>
  </si>
  <si>
    <t>Sulfate</t>
  </si>
  <si>
    <t>H+</t>
  </si>
  <si>
    <t>Na+</t>
  </si>
  <si>
    <t>Ammonia</t>
  </si>
  <si>
    <t>NH3</t>
  </si>
  <si>
    <t>K+</t>
  </si>
  <si>
    <t>Magnesium</t>
  </si>
  <si>
    <t>Iron(II)</t>
  </si>
  <si>
    <t>Iron(III)</t>
  </si>
  <si>
    <t>Fe3+</t>
  </si>
  <si>
    <t>Copper</t>
  </si>
  <si>
    <t>Cu2+</t>
  </si>
  <si>
    <t>Cobalt</t>
  </si>
  <si>
    <t>Co2+</t>
  </si>
  <si>
    <t>Manganese</t>
  </si>
  <si>
    <t>Mn2+</t>
  </si>
  <si>
    <t>Zinc</t>
  </si>
  <si>
    <t>Zn2+</t>
  </si>
  <si>
    <t>Nickel</t>
  </si>
  <si>
    <t>Ni2+</t>
  </si>
  <si>
    <t>EX_h2o(e)</t>
  </si>
  <si>
    <t>H2O exchange</t>
  </si>
  <si>
    <t>EX_co2(e)</t>
  </si>
  <si>
    <t>CO2 exchange</t>
  </si>
  <si>
    <t>Ammonium</t>
  </si>
  <si>
    <t>EX_nh4(e)</t>
  </si>
  <si>
    <t>Ammonia exchange</t>
  </si>
  <si>
    <t>SO42-</t>
  </si>
  <si>
    <t>EX_pi(e)</t>
  </si>
  <si>
    <t>Phosphate exchange</t>
  </si>
  <si>
    <t>EX_so4(e)</t>
  </si>
  <si>
    <t>Sulfate exchange</t>
  </si>
  <si>
    <t>EX_cobalt2(e)</t>
  </si>
  <si>
    <t>Co2+ exchange</t>
  </si>
  <si>
    <t>EX_cu2(e)</t>
  </si>
  <si>
    <t>Cu2+ exchange</t>
  </si>
  <si>
    <t>EX_h(e)</t>
  </si>
  <si>
    <t>H+ exchange</t>
  </si>
  <si>
    <t>EX_fe2(e)</t>
  </si>
  <si>
    <t>Fe2+ exchange</t>
  </si>
  <si>
    <t>EX_fe3(e)</t>
  </si>
  <si>
    <t>Fe3+ exchange</t>
  </si>
  <si>
    <t>EX_mg2(e)</t>
  </si>
  <si>
    <t>Mg exchange</t>
  </si>
  <si>
    <t>Mg2+</t>
  </si>
  <si>
    <t>EX_mn2(e)</t>
  </si>
  <si>
    <t>Mn2+ exchange</t>
  </si>
  <si>
    <t>EX_ni2(e)</t>
  </si>
  <si>
    <t>Ni2+ exchange</t>
  </si>
  <si>
    <t>EX_k(e)</t>
  </si>
  <si>
    <t>K+ exchange</t>
  </si>
  <si>
    <t>EX_na1(e)</t>
  </si>
  <si>
    <t>Sodium exchange</t>
  </si>
  <si>
    <t>EX_zn2(e)</t>
  </si>
  <si>
    <t>Zinc exchange</t>
  </si>
  <si>
    <t>Ca2+</t>
  </si>
  <si>
    <t>Cl-</t>
  </si>
  <si>
    <t>O2</t>
  </si>
  <si>
    <t>Vitamin B12</t>
  </si>
  <si>
    <t>Glucose</t>
  </si>
  <si>
    <t>MoO42-</t>
  </si>
  <si>
    <t>SeO42-</t>
  </si>
  <si>
    <t>Seo32-</t>
  </si>
  <si>
    <t>WO42-</t>
  </si>
  <si>
    <t>Calcium</t>
  </si>
  <si>
    <t>Chloride</t>
  </si>
  <si>
    <t>Molybdate</t>
  </si>
  <si>
    <t>Selenate</t>
  </si>
  <si>
    <t>C₆₃H₈₈CoN₁₄O₁₄P</t>
  </si>
  <si>
    <t>Carbon dioxide</t>
  </si>
  <si>
    <t>C6H12O6</t>
  </si>
  <si>
    <t>Selenite</t>
  </si>
  <si>
    <t>Tungstate</t>
  </si>
  <si>
    <t>EX_ca2(e)</t>
  </si>
  <si>
    <t>Calcium exchange</t>
  </si>
  <si>
    <t>EX_cbl1(e)</t>
  </si>
  <si>
    <t>Cob(I)alamin exchange</t>
  </si>
  <si>
    <t>EX_cl(e)</t>
  </si>
  <si>
    <t>Chloride exchange</t>
  </si>
  <si>
    <t>EX_glc(e)</t>
  </si>
  <si>
    <t>D-Glucose exchange</t>
  </si>
  <si>
    <t>EX_mobd(e)</t>
  </si>
  <si>
    <t>Molybdate exchange</t>
  </si>
  <si>
    <t>EX_o2(e)</t>
  </si>
  <si>
    <t>O2 exchange</t>
  </si>
  <si>
    <t>EX_sel(e)</t>
  </si>
  <si>
    <t>Selenate exchange</t>
  </si>
  <si>
    <t>EX_slnt(e)</t>
  </si>
  <si>
    <t>selenite exchange</t>
  </si>
  <si>
    <t>EX_tungs(e)</t>
  </si>
  <si>
    <t>tungstate exchange</t>
  </si>
  <si>
    <t>NH4+</t>
  </si>
  <si>
    <t>Metabolite coloring</t>
  </si>
  <si>
    <t>growth rate significantly changes for LB range of -1000 to -1</t>
  </si>
  <si>
    <t>growth rate significantly changes for LB range of -1 to -1E-3</t>
  </si>
  <si>
    <t>growth rate significantly changes for LB range of -1E-3 to -1E-6</t>
  </si>
  <si>
    <t>growth rate does not significantly change for LB &lt;= -1E-6, but there is no growth w/o this metabolite</t>
  </si>
  <si>
    <t>growth rate does not significantly depend on this metabolite (optimal growth even in absence)</t>
  </si>
  <si>
    <t>Concentration coloring</t>
  </si>
  <si>
    <t>reference available for trace amounts</t>
  </si>
  <si>
    <t>assumed to be present in abundance, or is produced</t>
  </si>
  <si>
    <t>D-Alanine</t>
  </si>
  <si>
    <t>L-Alanine</t>
  </si>
  <si>
    <t>L-Arginine</t>
  </si>
  <si>
    <t>L-Aspartic acid</t>
  </si>
  <si>
    <t>L-Cysteine</t>
  </si>
  <si>
    <t>Glycine</t>
  </si>
  <si>
    <t>L-Glutamic acid</t>
  </si>
  <si>
    <t>L-Glutamine</t>
  </si>
  <si>
    <t>L-Histidine</t>
  </si>
  <si>
    <t>L-Isoleucine</t>
  </si>
  <si>
    <t>L-Leucine</t>
  </si>
  <si>
    <t>L-Lysine</t>
  </si>
  <si>
    <t>L-Methionine</t>
  </si>
  <si>
    <t>L-Phenylalanine</t>
  </si>
  <si>
    <t>L-Proline</t>
  </si>
  <si>
    <t>L-Serine</t>
  </si>
  <si>
    <t>L-Threonine</t>
  </si>
  <si>
    <t>L-Tryptophan</t>
  </si>
  <si>
    <t>L-Tyrosine</t>
  </si>
  <si>
    <t>L-Valine</t>
  </si>
  <si>
    <t>Adenine</t>
  </si>
  <si>
    <t>Thymidine</t>
  </si>
  <si>
    <t>Uracil</t>
  </si>
  <si>
    <t>Guanosine</t>
  </si>
  <si>
    <t>Biotin (B7)</t>
  </si>
  <si>
    <t>Niacin (B3)</t>
  </si>
  <si>
    <t>Pantothenic acid (B5)</t>
  </si>
  <si>
    <t>Pyridoxine (B6)</t>
  </si>
  <si>
    <t>Riboflavin (B2)</t>
  </si>
  <si>
    <t>PABA</t>
  </si>
  <si>
    <t>2,6- Diaminopimelate (DAP)</t>
  </si>
  <si>
    <t>L-Homoserine</t>
  </si>
  <si>
    <t>5-Aminolevulinic acid (5-ALA)</t>
  </si>
  <si>
    <t>3- Dehydroquinate (DHQ)</t>
  </si>
  <si>
    <t>Shikimate (SHIK)</t>
  </si>
  <si>
    <t>4-Hydroxybenzoate (4-HBA)</t>
  </si>
  <si>
    <t>2,3-Dihydroxybenzoate (2,3-DHBA)</t>
  </si>
  <si>
    <t>Citrulline</t>
  </si>
  <si>
    <t>Ornithine</t>
  </si>
  <si>
    <t>Putrescine</t>
  </si>
  <si>
    <t>L-Asparagine</t>
  </si>
  <si>
    <t>Cobalamin (B12)</t>
  </si>
  <si>
    <t>ARO</t>
  </si>
  <si>
    <t>Pool 4/Pool 10</t>
  </si>
  <si>
    <t>MW</t>
  </si>
  <si>
    <t>M9 ALL/AA/AA + VIT/AA + NUC</t>
  </si>
  <si>
    <t>M9 ALL/AA/AA + VIT/AA + NUC/Pool 5/Pool 9</t>
  </si>
  <si>
    <t>M9 ALL/AA/AA + VIT/AA + NUC/Pool 2/Pool 9</t>
  </si>
  <si>
    <t>M9 ALL/AA/AA + VIT/AA + NUC/Pool 4/Pool 9</t>
  </si>
  <si>
    <t>M9 ALL/AA/AA + VIT/AA + NUC/Pool 3/Pool 6</t>
  </si>
  <si>
    <t>M9 ALL/AA/AA + VIT/AA + NUC/Pool 5/Pool 10</t>
  </si>
  <si>
    <t>M9 ALL/AA/AA + VIT/AA + NUC/Pool 3/Pool 10</t>
  </si>
  <si>
    <t>M9 ALL/AA/AA + VIT/AA + NUC/Pool 1/Pool 9</t>
  </si>
  <si>
    <t>M9 ALL/AA/AA + VIT/AA + NUC/Pool 1/Pool 7</t>
  </si>
  <si>
    <t>M9 ALL/AA/AA + VIT/AA + NUC/Pool 3/Pool 5/Pool 7</t>
  </si>
  <si>
    <t>M9 ALL/AA/AA + VIT/AA + NUC/Pool 2/Pool 7</t>
  </si>
  <si>
    <t>M9 ALL/AA/AA + VIT/AA + NUC/Pool 4/Pool 7</t>
  </si>
  <si>
    <t>M9 ALL/AA/AA + VIT/AA + NUC/Pool 4/Pool 6</t>
  </si>
  <si>
    <t>M9 ALL/AA/AA + VIT/AA + NUC/ARO AA/ARO/Pool 1/Pool 8</t>
  </si>
  <si>
    <t>M9 ALL/AA/AA + VIT/AA + NUC/Pool 5/Pool 8</t>
  </si>
  <si>
    <t>M9 ALL/AA/AA + VIT/AA + NUC/Pool 2/Pool 10</t>
  </si>
  <si>
    <t>M9 ALL/AA/AA + VIT/AA + NUC/Pool 4/Pool 8</t>
  </si>
  <si>
    <t>M9 ALL/AA/AA + VIT/AA + NUC/ARO AA/ARO/Pool 3/Pool 8</t>
  </si>
  <si>
    <t>M9 ALL/AA/AA + VIT/AA + NUC/ARO AA/ARO/Pool 2/Pool 8</t>
  </si>
  <si>
    <t>M9 ALL/NUC/AA + NUC/VIT + NUC/PUR/Pool 1/Pool 6</t>
  </si>
  <si>
    <t>M9 ALL/NUC/AA + NUC/VIT + NUC/PYR/Pool 1/Pool 10</t>
  </si>
  <si>
    <t>M9 ALL/NUC/AA + NUC/VIT + NUC/PYR/Pool 3/Pool 9</t>
  </si>
  <si>
    <t>M9 ALL/NUC/AA + NUC/VIT + NUC/PUR/Pool 2/Pool 6</t>
  </si>
  <si>
    <t>M9 ALL/VIT/AA + VIT/NUC + VIT</t>
  </si>
  <si>
    <t>M9 ALL/VIT/AA + VIT/NUC + VIT/Pool 5/Pool 6</t>
  </si>
  <si>
    <t>M9 ALL/VIT/AA + VIT/NUC + VIT/ARO</t>
  </si>
  <si>
    <t>Media Code</t>
  </si>
  <si>
    <t>mM</t>
  </si>
  <si>
    <t>Thiamin (B1)</t>
  </si>
  <si>
    <t>EX_ala-D(e)</t>
  </si>
  <si>
    <t>D-Alanine exchange</t>
  </si>
  <si>
    <t>EX_ala-L(e)</t>
  </si>
  <si>
    <t>L-Alanine exchange</t>
  </si>
  <si>
    <t>EX_arg-L(e)</t>
  </si>
  <si>
    <t>L-Arginine exchange</t>
  </si>
  <si>
    <t>EX_asn-L(e)</t>
  </si>
  <si>
    <t>L-Asparagine exchange</t>
  </si>
  <si>
    <t>EX_asp-L(e)</t>
  </si>
  <si>
    <t>L-Aspartate exchange</t>
  </si>
  <si>
    <t>EX_cys-L(e)</t>
  </si>
  <si>
    <t>L-Cysteine exchange</t>
  </si>
  <si>
    <t>EX_gly(e)</t>
  </si>
  <si>
    <t>Glycine exchange</t>
  </si>
  <si>
    <t>EX_glu-L(e)</t>
  </si>
  <si>
    <t>L-Glutamate exchange</t>
  </si>
  <si>
    <t>EX_gln-L(e)</t>
  </si>
  <si>
    <t>L-Glutamine exchange</t>
  </si>
  <si>
    <t>EX_his-L(e)</t>
  </si>
  <si>
    <t>L-Histidine exchange</t>
  </si>
  <si>
    <t>EX_ile-L(e)</t>
  </si>
  <si>
    <t>L-Isoleucine exchange</t>
  </si>
  <si>
    <t>EX_leu-L(e)</t>
  </si>
  <si>
    <t>L-Leucine exchange</t>
  </si>
  <si>
    <t>EX_lys-L(e)</t>
  </si>
  <si>
    <t>L-Lysine exchange</t>
  </si>
  <si>
    <t>EX_met-L(e)</t>
  </si>
  <si>
    <t>L-Methionine exchange</t>
  </si>
  <si>
    <t>EX_phe-L(e)</t>
  </si>
  <si>
    <t>L-Phenylalanine exchange</t>
  </si>
  <si>
    <t>EX_pro-L(e)</t>
  </si>
  <si>
    <t>L-Proline exchange</t>
  </si>
  <si>
    <t>EX_ser-L(e)</t>
  </si>
  <si>
    <t>L-Serine exchange</t>
  </si>
  <si>
    <t>EX_thr-L(e)</t>
  </si>
  <si>
    <t>L-Threonine exchange</t>
  </si>
  <si>
    <t>EX_trp-L(e)</t>
  </si>
  <si>
    <t>L-Tryptophan exchange</t>
  </si>
  <si>
    <t>EX_tyr-L(e)</t>
  </si>
  <si>
    <t>L-Tyrosine exchange</t>
  </si>
  <si>
    <t>EX_val-L(e)</t>
  </si>
  <si>
    <t>L-Valine exchange</t>
  </si>
  <si>
    <t>EX_ade(e)</t>
  </si>
  <si>
    <t>Adenine exchange</t>
  </si>
  <si>
    <t>EX_thymd(e)</t>
  </si>
  <si>
    <t>Thymidine exchange</t>
  </si>
  <si>
    <t>EX_ura(e)</t>
  </si>
  <si>
    <t>Uracil exchange</t>
  </si>
  <si>
    <t>EX_gsn(e)</t>
  </si>
  <si>
    <t>Guanosine exchange</t>
  </si>
  <si>
    <t>EX_btn(e)</t>
  </si>
  <si>
    <t>Biotin exchange</t>
  </si>
  <si>
    <t>EX_pnto-R(e)</t>
  </si>
  <si>
    <t>(R)-Pantothenate exchange</t>
  </si>
  <si>
    <t>EX_pydxn(e)</t>
  </si>
  <si>
    <t>Pyridoxine exchange</t>
  </si>
  <si>
    <t>EX_thm(e)</t>
  </si>
  <si>
    <t>Thiamin exchange</t>
  </si>
  <si>
    <t>EX_hom-L(e)</t>
  </si>
  <si>
    <t>L-Homoserine exchange</t>
  </si>
  <si>
    <t>EX_skm(e)</t>
  </si>
  <si>
    <t>Shikimate exchange</t>
  </si>
  <si>
    <t>EX_orn(e)</t>
  </si>
  <si>
    <t>Ornithine exchange</t>
  </si>
  <si>
    <t>EX_ptrc(e)</t>
  </si>
  <si>
    <t>Putrescine exchange</t>
  </si>
  <si>
    <t>Condition</t>
  </si>
  <si>
    <t>Description</t>
  </si>
  <si>
    <t>M9</t>
  </si>
  <si>
    <t>ALL</t>
  </si>
  <si>
    <t>AA</t>
  </si>
  <si>
    <t>Notes</t>
  </si>
  <si>
    <t>VIT</t>
  </si>
  <si>
    <t>NUC</t>
  </si>
  <si>
    <t>AA+V</t>
  </si>
  <si>
    <t>AA+N</t>
  </si>
  <si>
    <t>V+N</t>
  </si>
  <si>
    <t>A</t>
  </si>
  <si>
    <t>G</t>
  </si>
  <si>
    <t>V</t>
  </si>
  <si>
    <t>L</t>
  </si>
  <si>
    <t>I</t>
  </si>
  <si>
    <t>S</t>
  </si>
  <si>
    <t>T</t>
  </si>
  <si>
    <t>P</t>
  </si>
  <si>
    <t>F</t>
  </si>
  <si>
    <t>W</t>
  </si>
  <si>
    <t>Y</t>
  </si>
  <si>
    <t>D</t>
  </si>
  <si>
    <t>E</t>
  </si>
  <si>
    <t>Q</t>
  </si>
  <si>
    <t>R</t>
  </si>
  <si>
    <t>H</t>
  </si>
  <si>
    <t>K</t>
  </si>
  <si>
    <t>Ade</t>
  </si>
  <si>
    <t>Gua</t>
  </si>
  <si>
    <t>Ura</t>
  </si>
  <si>
    <t>Thy</t>
  </si>
  <si>
    <t>B7</t>
  </si>
  <si>
    <t>B3</t>
  </si>
  <si>
    <t>B5</t>
  </si>
  <si>
    <t>B6</t>
  </si>
  <si>
    <t>B1</t>
  </si>
  <si>
    <t>B2</t>
  </si>
  <si>
    <t>M</t>
  </si>
  <si>
    <t>C</t>
  </si>
  <si>
    <t>N</t>
  </si>
  <si>
    <t>AA+VIT</t>
  </si>
  <si>
    <t>AA+NUC</t>
  </si>
  <si>
    <t>VIT+NUC</t>
  </si>
  <si>
    <t>Alanine</t>
  </si>
  <si>
    <t>Guanine</t>
  </si>
  <si>
    <t>Thymine</t>
  </si>
  <si>
    <t>minimal media</t>
  </si>
  <si>
    <t>AA + VIT + NUC</t>
  </si>
  <si>
    <t>amino acid</t>
  </si>
  <si>
    <t>All amino acids</t>
  </si>
  <si>
    <t>All vitamins</t>
  </si>
  <si>
    <t>All nucleic acids</t>
  </si>
  <si>
    <t>AA + VIT</t>
  </si>
  <si>
    <t>AA + NUC</t>
  </si>
  <si>
    <t>VIT + NUC</t>
  </si>
  <si>
    <t>nucleic acid</t>
  </si>
  <si>
    <t>vitamin</t>
  </si>
  <si>
    <t>GEM?</t>
  </si>
  <si>
    <t>M9 ALL</t>
  </si>
  <si>
    <t>U</t>
  </si>
  <si>
    <t>B4</t>
  </si>
  <si>
    <t>B12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</si>
</sst>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/>
    <xf numFmtId="0" fontId="1" fillId="0" borderId="0" xfId="0" applyFont="1"/>
    <xf numFmtId="4" fontId="0" fillId="0" borderId="0" xfId="0" quotePrefix="1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4" fontId="0" fillId="7" borderId="0" xfId="0" quotePrefix="1" applyNumberFormat="1" applyFill="1"/>
    <xf numFmtId="0" fontId="0" fillId="7" borderId="0" xfId="0" applyFill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1" sqref="B11"/>
    </sheetView>
  </sheetViews>
  <sheetFormatPr defaultRowHeight="14.25" x14ac:dyDescent="0.2"/>
  <sheetData>
    <row r="1" spans="1:2" x14ac:dyDescent="0.2">
      <c r="A1" t="s">
        <v>113</v>
      </c>
    </row>
    <row r="2" spans="1:2" x14ac:dyDescent="0.2">
      <c r="A2" s="6"/>
      <c r="B2" t="s">
        <v>114</v>
      </c>
    </row>
    <row r="3" spans="1:2" x14ac:dyDescent="0.2">
      <c r="A3" s="7"/>
      <c r="B3" t="s">
        <v>115</v>
      </c>
    </row>
    <row r="4" spans="1:2" x14ac:dyDescent="0.2">
      <c r="A4" s="4"/>
      <c r="B4" t="s">
        <v>116</v>
      </c>
    </row>
    <row r="5" spans="1:2" x14ac:dyDescent="0.2">
      <c r="A5" s="8"/>
      <c r="B5" t="s">
        <v>117</v>
      </c>
    </row>
    <row r="6" spans="1:2" x14ac:dyDescent="0.2">
      <c r="B6" t="s">
        <v>118</v>
      </c>
    </row>
    <row r="8" spans="1:2" x14ac:dyDescent="0.2">
      <c r="A8" t="s">
        <v>119</v>
      </c>
    </row>
    <row r="9" spans="1:2" x14ac:dyDescent="0.2">
      <c r="A9" s="5"/>
      <c r="B9" t="s">
        <v>120</v>
      </c>
    </row>
    <row r="10" spans="1:2" x14ac:dyDescent="0.2">
      <c r="A10" s="11"/>
      <c r="B10" t="s">
        <v>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4" workbookViewId="0">
      <selection activeCell="F2" sqref="F2:J26"/>
    </sheetView>
  </sheetViews>
  <sheetFormatPr defaultRowHeight="14.25" x14ac:dyDescent="0.2"/>
  <cols>
    <col min="1" max="2" width="10.625" bestFit="1" customWidth="1"/>
    <col min="3" max="4" width="20.625" bestFit="1" customWidth="1"/>
    <col min="5" max="5" width="9.875" bestFit="1" customWidth="1"/>
    <col min="10" max="10" width="10.625" bestFit="1" customWidth="1"/>
  </cols>
  <sheetData>
    <row r="1" spans="1:10" s="2" customFormat="1" ht="15" x14ac:dyDescent="0.25">
      <c r="A1" s="2" t="s">
        <v>0</v>
      </c>
      <c r="B1" s="2" t="s">
        <v>16</v>
      </c>
      <c r="C1" s="2" t="s">
        <v>1</v>
      </c>
      <c r="D1" s="2" t="s">
        <v>2</v>
      </c>
      <c r="E1" s="2" t="s">
        <v>166</v>
      </c>
      <c r="F1" s="2" t="s">
        <v>7</v>
      </c>
      <c r="G1" s="2" t="s">
        <v>13</v>
      </c>
      <c r="H1" s="2" t="s">
        <v>4</v>
      </c>
      <c r="I1" s="2" t="s">
        <v>5</v>
      </c>
      <c r="J1" s="2" t="s">
        <v>6</v>
      </c>
    </row>
    <row r="2" spans="1:10" x14ac:dyDescent="0.2">
      <c r="A2" t="s">
        <v>85</v>
      </c>
      <c r="B2" t="s">
        <v>76</v>
      </c>
      <c r="C2" t="s">
        <v>94</v>
      </c>
      <c r="D2" t="s">
        <v>95</v>
      </c>
      <c r="E2">
        <v>40.078000000000003</v>
      </c>
      <c r="F2">
        <v>40.078000000000003</v>
      </c>
      <c r="G2">
        <f>F2/E2</f>
        <v>1</v>
      </c>
      <c r="H2">
        <v>-1000</v>
      </c>
      <c r="I2">
        <f>G2/G2</f>
        <v>1</v>
      </c>
      <c r="J2">
        <f>H2*I2</f>
        <v>-1000</v>
      </c>
    </row>
    <row r="3" spans="1:10" x14ac:dyDescent="0.2">
      <c r="A3" t="s">
        <v>79</v>
      </c>
      <c r="B3" t="s">
        <v>89</v>
      </c>
      <c r="C3" t="s">
        <v>96</v>
      </c>
      <c r="D3" s="1" t="s">
        <v>97</v>
      </c>
      <c r="E3" s="3">
        <v>1355.365</v>
      </c>
      <c r="F3" s="3">
        <v>1355.365</v>
      </c>
      <c r="G3">
        <f t="shared" ref="G3:G26" si="0">F3/E3</f>
        <v>1</v>
      </c>
      <c r="H3">
        <v>-0.01</v>
      </c>
      <c r="I3">
        <f t="shared" ref="I3:I26" si="1">G3/G3</f>
        <v>1</v>
      </c>
      <c r="J3">
        <f t="shared" ref="J3:J26" si="2">H3*I3</f>
        <v>-0.01</v>
      </c>
    </row>
    <row r="4" spans="1:10" x14ac:dyDescent="0.2">
      <c r="A4" t="s">
        <v>86</v>
      </c>
      <c r="B4" t="s">
        <v>77</v>
      </c>
      <c r="C4" t="s">
        <v>98</v>
      </c>
      <c r="D4" t="s">
        <v>99</v>
      </c>
      <c r="E4">
        <v>35.453000000000003</v>
      </c>
      <c r="F4">
        <v>35.453000000000003</v>
      </c>
      <c r="G4">
        <f t="shared" si="0"/>
        <v>1</v>
      </c>
      <c r="H4">
        <v>-1000</v>
      </c>
      <c r="I4">
        <f t="shared" si="1"/>
        <v>1</v>
      </c>
      <c r="J4">
        <f t="shared" si="2"/>
        <v>-1000</v>
      </c>
    </row>
    <row r="5" spans="1:10" x14ac:dyDescent="0.2">
      <c r="A5" t="s">
        <v>90</v>
      </c>
      <c r="B5" t="s">
        <v>18</v>
      </c>
      <c r="C5" t="s">
        <v>43</v>
      </c>
      <c r="D5" t="s">
        <v>44</v>
      </c>
      <c r="E5">
        <v>44.01</v>
      </c>
      <c r="F5">
        <v>44.01</v>
      </c>
      <c r="G5">
        <f t="shared" si="0"/>
        <v>1</v>
      </c>
      <c r="H5">
        <v>-1000</v>
      </c>
      <c r="I5">
        <f t="shared" si="1"/>
        <v>1</v>
      </c>
      <c r="J5">
        <f t="shared" si="2"/>
        <v>-1000</v>
      </c>
    </row>
    <row r="6" spans="1:10" x14ac:dyDescent="0.2">
      <c r="A6" t="s">
        <v>33</v>
      </c>
      <c r="B6" t="s">
        <v>34</v>
      </c>
      <c r="C6" t="s">
        <v>53</v>
      </c>
      <c r="D6" t="s">
        <v>54</v>
      </c>
      <c r="E6">
        <v>28.01</v>
      </c>
      <c r="F6">
        <v>28.01</v>
      </c>
      <c r="G6">
        <f t="shared" si="0"/>
        <v>1</v>
      </c>
      <c r="H6">
        <v>-1000</v>
      </c>
      <c r="I6">
        <f t="shared" si="1"/>
        <v>1</v>
      </c>
      <c r="J6">
        <f t="shared" si="2"/>
        <v>-1000</v>
      </c>
    </row>
    <row r="7" spans="1:10" x14ac:dyDescent="0.2">
      <c r="A7" t="s">
        <v>31</v>
      </c>
      <c r="B7" t="s">
        <v>32</v>
      </c>
      <c r="C7" t="s">
        <v>55</v>
      </c>
      <c r="D7" t="s">
        <v>56</v>
      </c>
      <c r="E7">
        <v>63.545999999999999</v>
      </c>
      <c r="F7">
        <v>63.545999999999999</v>
      </c>
      <c r="G7">
        <f t="shared" si="0"/>
        <v>1</v>
      </c>
      <c r="H7">
        <v>-1000</v>
      </c>
      <c r="I7">
        <f t="shared" si="1"/>
        <v>1</v>
      </c>
      <c r="J7">
        <f t="shared" si="2"/>
        <v>-1000</v>
      </c>
    </row>
    <row r="8" spans="1:10" x14ac:dyDescent="0.2">
      <c r="A8" t="s">
        <v>28</v>
      </c>
      <c r="B8" t="s">
        <v>19</v>
      </c>
      <c r="C8" t="s">
        <v>59</v>
      </c>
      <c r="D8" t="s">
        <v>60</v>
      </c>
      <c r="E8">
        <v>55.844999999999999</v>
      </c>
      <c r="F8">
        <v>55.844999999999999</v>
      </c>
      <c r="G8">
        <f t="shared" si="0"/>
        <v>1</v>
      </c>
      <c r="H8">
        <v>-1000</v>
      </c>
      <c r="I8">
        <f t="shared" si="1"/>
        <v>1</v>
      </c>
      <c r="J8">
        <f t="shared" si="2"/>
        <v>-1000</v>
      </c>
    </row>
    <row r="9" spans="1:10" x14ac:dyDescent="0.2">
      <c r="A9" t="s">
        <v>29</v>
      </c>
      <c r="B9" t="s">
        <v>30</v>
      </c>
      <c r="C9" t="s">
        <v>61</v>
      </c>
      <c r="D9" t="s">
        <v>62</v>
      </c>
      <c r="E9">
        <v>55.844999999999999</v>
      </c>
      <c r="F9">
        <v>55.844999999999999</v>
      </c>
      <c r="G9">
        <f t="shared" si="0"/>
        <v>1</v>
      </c>
      <c r="H9">
        <v>-1000</v>
      </c>
      <c r="I9">
        <f t="shared" si="1"/>
        <v>1</v>
      </c>
      <c r="J9">
        <f t="shared" si="2"/>
        <v>-1000</v>
      </c>
    </row>
    <row r="10" spans="1:10" x14ac:dyDescent="0.2">
      <c r="A10" t="s">
        <v>80</v>
      </c>
      <c r="B10" t="s">
        <v>91</v>
      </c>
      <c r="C10" t="s">
        <v>100</v>
      </c>
      <c r="D10" t="s">
        <v>101</v>
      </c>
      <c r="E10">
        <v>180.15600000000001</v>
      </c>
      <c r="F10">
        <f>180.156/100</f>
        <v>1.8015600000000001</v>
      </c>
      <c r="G10">
        <f t="shared" si="0"/>
        <v>0.01</v>
      </c>
      <c r="H10">
        <v>-10</v>
      </c>
      <c r="I10">
        <f t="shared" si="1"/>
        <v>1</v>
      </c>
      <c r="J10">
        <f t="shared" si="2"/>
        <v>-10</v>
      </c>
    </row>
    <row r="11" spans="1:10" x14ac:dyDescent="0.2">
      <c r="A11" t="s">
        <v>8</v>
      </c>
      <c r="B11" t="s">
        <v>22</v>
      </c>
      <c r="C11" t="s">
        <v>57</v>
      </c>
      <c r="D11" t="s">
        <v>58</v>
      </c>
      <c r="E11">
        <v>1.0078400000000001</v>
      </c>
      <c r="F11">
        <v>1.0078400000000001</v>
      </c>
      <c r="G11">
        <f t="shared" si="0"/>
        <v>1</v>
      </c>
      <c r="H11">
        <v>-1000</v>
      </c>
      <c r="I11">
        <f t="shared" si="1"/>
        <v>1</v>
      </c>
      <c r="J11">
        <f t="shared" si="2"/>
        <v>-1000</v>
      </c>
    </row>
    <row r="12" spans="1:10" x14ac:dyDescent="0.2">
      <c r="A12" t="s">
        <v>14</v>
      </c>
      <c r="B12" t="s">
        <v>17</v>
      </c>
      <c r="C12" t="s">
        <v>41</v>
      </c>
      <c r="D12" t="s">
        <v>42</v>
      </c>
      <c r="E12">
        <v>18.015280000000001</v>
      </c>
      <c r="F12">
        <v>18.015280000000001</v>
      </c>
      <c r="G12">
        <f t="shared" si="0"/>
        <v>1</v>
      </c>
      <c r="H12">
        <v>-1000</v>
      </c>
      <c r="I12">
        <f t="shared" si="1"/>
        <v>1</v>
      </c>
      <c r="J12">
        <f t="shared" si="2"/>
        <v>-1000</v>
      </c>
    </row>
    <row r="13" spans="1:10" x14ac:dyDescent="0.2">
      <c r="A13" t="s">
        <v>12</v>
      </c>
      <c r="B13" t="s">
        <v>26</v>
      </c>
      <c r="C13" t="s">
        <v>70</v>
      </c>
      <c r="D13" t="s">
        <v>71</v>
      </c>
      <c r="E13">
        <v>39.098300000000002</v>
      </c>
      <c r="F13">
        <v>39.098300000000002</v>
      </c>
      <c r="G13">
        <f t="shared" si="0"/>
        <v>1</v>
      </c>
      <c r="H13">
        <v>-1000</v>
      </c>
      <c r="I13">
        <f t="shared" si="1"/>
        <v>1</v>
      </c>
      <c r="J13">
        <f t="shared" si="2"/>
        <v>-1000</v>
      </c>
    </row>
    <row r="14" spans="1:10" x14ac:dyDescent="0.2">
      <c r="A14" t="s">
        <v>27</v>
      </c>
      <c r="B14" t="s">
        <v>65</v>
      </c>
      <c r="C14" t="s">
        <v>63</v>
      </c>
      <c r="D14" t="s">
        <v>64</v>
      </c>
      <c r="E14">
        <v>24.305</v>
      </c>
      <c r="F14">
        <v>24.305</v>
      </c>
      <c r="G14">
        <f t="shared" si="0"/>
        <v>1</v>
      </c>
      <c r="H14">
        <v>-1000</v>
      </c>
      <c r="I14">
        <f t="shared" si="1"/>
        <v>1</v>
      </c>
      <c r="J14">
        <f t="shared" si="2"/>
        <v>-1000</v>
      </c>
    </row>
    <row r="15" spans="1:10" x14ac:dyDescent="0.2">
      <c r="A15" t="s">
        <v>35</v>
      </c>
      <c r="B15" t="s">
        <v>36</v>
      </c>
      <c r="C15" t="s">
        <v>66</v>
      </c>
      <c r="D15" t="s">
        <v>67</v>
      </c>
      <c r="E15">
        <v>54.938043999999998</v>
      </c>
      <c r="F15">
        <v>54.938043999999998</v>
      </c>
      <c r="G15">
        <f t="shared" si="0"/>
        <v>1</v>
      </c>
      <c r="H15">
        <v>-1000</v>
      </c>
      <c r="I15">
        <f t="shared" si="1"/>
        <v>1</v>
      </c>
      <c r="J15">
        <f t="shared" si="2"/>
        <v>-1000</v>
      </c>
    </row>
    <row r="16" spans="1:10" x14ac:dyDescent="0.2">
      <c r="A16" t="s">
        <v>87</v>
      </c>
      <c r="B16" t="s">
        <v>81</v>
      </c>
      <c r="C16" t="s">
        <v>102</v>
      </c>
      <c r="D16" t="s">
        <v>103</v>
      </c>
      <c r="E16">
        <v>159.9</v>
      </c>
      <c r="F16">
        <v>159.9</v>
      </c>
      <c r="G16">
        <f t="shared" si="0"/>
        <v>1</v>
      </c>
      <c r="H16">
        <v>-1000</v>
      </c>
      <c r="I16">
        <f t="shared" si="1"/>
        <v>1</v>
      </c>
      <c r="J16">
        <f t="shared" si="2"/>
        <v>-1000</v>
      </c>
    </row>
    <row r="17" spans="1:10" x14ac:dyDescent="0.2">
      <c r="A17" t="s">
        <v>10</v>
      </c>
      <c r="B17" t="s">
        <v>23</v>
      </c>
      <c r="C17" t="s">
        <v>72</v>
      </c>
      <c r="D17" t="s">
        <v>73</v>
      </c>
      <c r="E17">
        <v>22.989768999999999</v>
      </c>
      <c r="F17">
        <v>22.989768999999999</v>
      </c>
      <c r="G17">
        <f t="shared" si="0"/>
        <v>1</v>
      </c>
      <c r="H17">
        <v>-1000</v>
      </c>
      <c r="I17">
        <f t="shared" si="1"/>
        <v>1</v>
      </c>
      <c r="J17">
        <f t="shared" si="2"/>
        <v>-1000</v>
      </c>
    </row>
    <row r="18" spans="1:10" x14ac:dyDescent="0.2">
      <c r="A18" t="s">
        <v>24</v>
      </c>
      <c r="B18" t="s">
        <v>25</v>
      </c>
      <c r="C18" t="s">
        <v>46</v>
      </c>
      <c r="D18" t="s">
        <v>47</v>
      </c>
      <c r="E18">
        <v>18.039000000000001</v>
      </c>
      <c r="F18">
        <v>18.039000000000001</v>
      </c>
      <c r="G18">
        <f t="shared" si="0"/>
        <v>1</v>
      </c>
      <c r="H18">
        <v>-1000</v>
      </c>
      <c r="I18">
        <f t="shared" si="1"/>
        <v>1</v>
      </c>
      <c r="J18">
        <f t="shared" si="2"/>
        <v>-1000</v>
      </c>
    </row>
    <row r="19" spans="1:10" x14ac:dyDescent="0.2">
      <c r="A19" t="s">
        <v>39</v>
      </c>
      <c r="B19" t="s">
        <v>40</v>
      </c>
      <c r="C19" t="s">
        <v>68</v>
      </c>
      <c r="D19" t="s">
        <v>69</v>
      </c>
      <c r="E19">
        <v>58.693399999999997</v>
      </c>
      <c r="F19">
        <v>58.693399999999997</v>
      </c>
      <c r="G19">
        <f t="shared" si="0"/>
        <v>1</v>
      </c>
      <c r="H19">
        <v>-1000</v>
      </c>
      <c r="I19">
        <f t="shared" si="1"/>
        <v>1</v>
      </c>
      <c r="J19">
        <f t="shared" si="2"/>
        <v>-1000</v>
      </c>
    </row>
    <row r="20" spans="1:10" x14ac:dyDescent="0.2">
      <c r="A20" t="s">
        <v>9</v>
      </c>
      <c r="B20" t="s">
        <v>78</v>
      </c>
      <c r="C20" t="s">
        <v>104</v>
      </c>
      <c r="D20" t="s">
        <v>105</v>
      </c>
      <c r="E20">
        <v>15.999000000000001</v>
      </c>
      <c r="F20">
        <v>15.999000000000001</v>
      </c>
      <c r="G20">
        <f t="shared" si="0"/>
        <v>1</v>
      </c>
      <c r="H20">
        <v>-1000</v>
      </c>
      <c r="I20">
        <f t="shared" si="1"/>
        <v>1</v>
      </c>
      <c r="J20">
        <f t="shared" si="2"/>
        <v>-1000</v>
      </c>
    </row>
    <row r="21" spans="1:10" x14ac:dyDescent="0.2">
      <c r="A21" t="s">
        <v>15</v>
      </c>
      <c r="B21" t="s">
        <v>20</v>
      </c>
      <c r="C21" t="s">
        <v>49</v>
      </c>
      <c r="D21" t="s">
        <v>50</v>
      </c>
      <c r="E21">
        <v>94.971400000000003</v>
      </c>
      <c r="F21">
        <v>94.971400000000003</v>
      </c>
      <c r="G21">
        <f t="shared" si="0"/>
        <v>1</v>
      </c>
      <c r="H21">
        <v>-1000</v>
      </c>
      <c r="I21">
        <f t="shared" si="1"/>
        <v>1</v>
      </c>
      <c r="J21">
        <f t="shared" si="2"/>
        <v>-1000</v>
      </c>
    </row>
    <row r="22" spans="1:10" x14ac:dyDescent="0.2">
      <c r="A22" t="s">
        <v>88</v>
      </c>
      <c r="B22" t="s">
        <v>82</v>
      </c>
      <c r="C22" t="s">
        <v>106</v>
      </c>
      <c r="D22" t="s">
        <v>107</v>
      </c>
      <c r="E22">
        <v>142.97</v>
      </c>
      <c r="F22">
        <v>142.97</v>
      </c>
      <c r="G22">
        <f t="shared" si="0"/>
        <v>1</v>
      </c>
      <c r="H22">
        <v>-1000</v>
      </c>
      <c r="I22">
        <f t="shared" si="1"/>
        <v>1</v>
      </c>
      <c r="J22">
        <f t="shared" si="2"/>
        <v>-1000</v>
      </c>
    </row>
    <row r="23" spans="1:10" x14ac:dyDescent="0.2">
      <c r="A23" t="s">
        <v>92</v>
      </c>
      <c r="B23" t="s">
        <v>83</v>
      </c>
      <c r="C23" t="s">
        <v>108</v>
      </c>
      <c r="D23" t="s">
        <v>109</v>
      </c>
      <c r="E23">
        <v>126.97</v>
      </c>
      <c r="F23">
        <v>126.97</v>
      </c>
      <c r="G23">
        <f t="shared" si="0"/>
        <v>1</v>
      </c>
      <c r="H23">
        <v>-1000</v>
      </c>
      <c r="I23">
        <f t="shared" si="1"/>
        <v>1</v>
      </c>
      <c r="J23">
        <f t="shared" si="2"/>
        <v>-1000</v>
      </c>
    </row>
    <row r="24" spans="1:10" x14ac:dyDescent="0.2">
      <c r="A24" t="s">
        <v>21</v>
      </c>
      <c r="B24" t="s">
        <v>48</v>
      </c>
      <c r="C24" t="s">
        <v>51</v>
      </c>
      <c r="D24" t="s">
        <v>52</v>
      </c>
      <c r="E24">
        <v>96.06</v>
      </c>
      <c r="F24">
        <v>96.06</v>
      </c>
      <c r="G24">
        <f t="shared" si="0"/>
        <v>1</v>
      </c>
      <c r="H24">
        <v>-1000</v>
      </c>
      <c r="I24">
        <f t="shared" si="1"/>
        <v>1</v>
      </c>
      <c r="J24">
        <f t="shared" si="2"/>
        <v>-1000</v>
      </c>
    </row>
    <row r="25" spans="1:10" x14ac:dyDescent="0.2">
      <c r="A25" t="s">
        <v>93</v>
      </c>
      <c r="B25" t="s">
        <v>84</v>
      </c>
      <c r="C25" t="s">
        <v>110</v>
      </c>
      <c r="D25" t="s">
        <v>111</v>
      </c>
      <c r="E25">
        <v>247.8</v>
      </c>
      <c r="F25">
        <v>247.8</v>
      </c>
      <c r="G25">
        <f t="shared" si="0"/>
        <v>1</v>
      </c>
      <c r="H25">
        <v>-1000</v>
      </c>
      <c r="I25">
        <f t="shared" si="1"/>
        <v>1</v>
      </c>
      <c r="J25">
        <f t="shared" si="2"/>
        <v>-1000</v>
      </c>
    </row>
    <row r="26" spans="1:10" x14ac:dyDescent="0.2">
      <c r="A26" t="s">
        <v>37</v>
      </c>
      <c r="B26" t="s">
        <v>38</v>
      </c>
      <c r="C26" t="s">
        <v>74</v>
      </c>
      <c r="D26" t="s">
        <v>75</v>
      </c>
      <c r="E26">
        <v>65.38</v>
      </c>
      <c r="F26">
        <v>65.38</v>
      </c>
      <c r="G26">
        <f t="shared" si="0"/>
        <v>1</v>
      </c>
      <c r="H26">
        <v>-1000</v>
      </c>
      <c r="I26">
        <f t="shared" si="1"/>
        <v>1</v>
      </c>
      <c r="J26">
        <f t="shared" si="2"/>
        <v>-1000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tabSelected="1" workbookViewId="0"/>
  </sheetViews>
  <sheetFormatPr defaultRowHeight="14.25" x14ac:dyDescent="0.2"/>
  <cols>
    <col min="1" max="1" width="13.125" bestFit="1" customWidth="1"/>
    <col min="2" max="2" width="10.625" bestFit="1" customWidth="1"/>
    <col min="3" max="4" width="20.625" bestFit="1" customWidth="1"/>
    <col min="5" max="5" width="9.875" bestFit="1" customWidth="1"/>
    <col min="6" max="6" width="12.25" bestFit="1" customWidth="1"/>
    <col min="10" max="10" width="12.5" bestFit="1" customWidth="1"/>
  </cols>
  <sheetData>
    <row r="1" spans="1:10" s="2" customFormat="1" ht="15" x14ac:dyDescent="0.25">
      <c r="A1" s="2" t="s">
        <v>0</v>
      </c>
      <c r="B1" s="2" t="s">
        <v>16</v>
      </c>
      <c r="C1" s="2" t="s">
        <v>1</v>
      </c>
      <c r="D1" s="2" t="s">
        <v>2</v>
      </c>
      <c r="E1" s="2" t="s">
        <v>166</v>
      </c>
      <c r="F1" s="2" t="s">
        <v>7</v>
      </c>
      <c r="G1" s="2" t="s">
        <v>13</v>
      </c>
      <c r="H1" s="2" t="s">
        <v>4</v>
      </c>
      <c r="I1" s="2" t="s">
        <v>5</v>
      </c>
      <c r="J1" s="2" t="s">
        <v>6</v>
      </c>
    </row>
    <row r="2" spans="1:10" x14ac:dyDescent="0.2">
      <c r="A2" s="7" t="s">
        <v>85</v>
      </c>
      <c r="B2" t="s">
        <v>76</v>
      </c>
      <c r="C2" t="s">
        <v>94</v>
      </c>
      <c r="D2" t="s">
        <v>95</v>
      </c>
      <c r="E2">
        <v>40.078000000000003</v>
      </c>
      <c r="F2">
        <f>(0.1*E2)/1000</f>
        <v>4.0078000000000006E-3</v>
      </c>
      <c r="G2">
        <f>F2/E2</f>
        <v>1E-4</v>
      </c>
      <c r="H2">
        <v>-1000</v>
      </c>
      <c r="I2">
        <f>G2/'GEM Default'!G2</f>
        <v>1E-4</v>
      </c>
      <c r="J2">
        <f>H2*I2</f>
        <v>-0.1</v>
      </c>
    </row>
    <row r="3" spans="1:10" x14ac:dyDescent="0.2">
      <c r="A3" s="8" t="s">
        <v>79</v>
      </c>
      <c r="B3" t="s">
        <v>89</v>
      </c>
      <c r="C3" t="s">
        <v>96</v>
      </c>
      <c r="D3" s="1" t="s">
        <v>97</v>
      </c>
      <c r="E3" s="3">
        <v>1355.365</v>
      </c>
      <c r="F3" s="10">
        <f>1355.365/10000</f>
        <v>0.1355365</v>
      </c>
      <c r="G3" s="11">
        <f t="shared" ref="G3:G26" si="0">F3/E3</f>
        <v>1E-4</v>
      </c>
      <c r="H3">
        <v>-0.01</v>
      </c>
      <c r="I3">
        <f>G3/'GEM Default'!G3</f>
        <v>1E-4</v>
      </c>
      <c r="J3">
        <f t="shared" ref="J3:J26" si="1">H3*I3</f>
        <v>-1.0000000000000002E-6</v>
      </c>
    </row>
    <row r="4" spans="1:10" x14ac:dyDescent="0.2">
      <c r="A4" s="7" t="s">
        <v>11</v>
      </c>
      <c r="B4" t="s">
        <v>77</v>
      </c>
      <c r="C4" t="s">
        <v>98</v>
      </c>
      <c r="D4" t="s">
        <v>99</v>
      </c>
      <c r="E4">
        <v>35.453000000000003</v>
      </c>
      <c r="F4">
        <f>(0.5*E4)/58.443+(1*E4)/53.491+(0.1*2*E4)/1000+(0.01*3*E4)/1000</f>
        <v>0.97425121303589868</v>
      </c>
      <c r="G4">
        <f t="shared" si="0"/>
        <v>2.7480078217242507E-2</v>
      </c>
      <c r="H4">
        <v>-1000</v>
      </c>
      <c r="I4">
        <f>G4/'GEM Default'!G4</f>
        <v>2.7480078217242507E-2</v>
      </c>
      <c r="J4">
        <f t="shared" si="1"/>
        <v>-27.480078217242507</v>
      </c>
    </row>
    <row r="5" spans="1:10" x14ac:dyDescent="0.2">
      <c r="A5" s="8" t="s">
        <v>90</v>
      </c>
      <c r="B5" t="s">
        <v>18</v>
      </c>
      <c r="C5" t="s">
        <v>43</v>
      </c>
      <c r="D5" t="s">
        <v>44</v>
      </c>
      <c r="E5">
        <v>44.01</v>
      </c>
      <c r="F5" s="11">
        <v>44.01</v>
      </c>
      <c r="G5" s="11">
        <f t="shared" si="0"/>
        <v>1</v>
      </c>
      <c r="H5">
        <v>-1000</v>
      </c>
      <c r="I5">
        <f>G5/'GEM Default'!G5</f>
        <v>1</v>
      </c>
      <c r="J5">
        <f t="shared" si="1"/>
        <v>-1000</v>
      </c>
    </row>
    <row r="6" spans="1:10" x14ac:dyDescent="0.2">
      <c r="A6" s="4" t="s">
        <v>33</v>
      </c>
      <c r="B6" t="s">
        <v>34</v>
      </c>
      <c r="C6" t="s">
        <v>53</v>
      </c>
      <c r="D6" t="s">
        <v>54</v>
      </c>
      <c r="E6">
        <v>28.01</v>
      </c>
      <c r="F6" s="5">
        <f>28.01/1000000</f>
        <v>2.8010000000000001E-5</v>
      </c>
      <c r="G6" s="5">
        <f t="shared" si="0"/>
        <v>9.9999999999999995E-7</v>
      </c>
      <c r="H6">
        <v>-1000</v>
      </c>
      <c r="I6">
        <f>G6/'GEM Default'!G6</f>
        <v>9.9999999999999995E-7</v>
      </c>
      <c r="J6">
        <f t="shared" si="1"/>
        <v>-1E-3</v>
      </c>
    </row>
    <row r="7" spans="1:10" x14ac:dyDescent="0.2">
      <c r="A7" s="4" t="s">
        <v>31</v>
      </c>
      <c r="B7" t="s">
        <v>32</v>
      </c>
      <c r="C7" t="s">
        <v>55</v>
      </c>
      <c r="D7" t="s">
        <v>56</v>
      </c>
      <c r="E7">
        <v>63.545999999999999</v>
      </c>
      <c r="F7" s="5">
        <f>63.546/1000000</f>
        <v>6.3546000000000004E-5</v>
      </c>
      <c r="G7" s="5">
        <f t="shared" si="0"/>
        <v>1.0000000000000002E-6</v>
      </c>
      <c r="H7">
        <v>-1000</v>
      </c>
      <c r="I7">
        <f>G7/'GEM Default'!G7</f>
        <v>1.0000000000000002E-6</v>
      </c>
      <c r="J7">
        <f t="shared" si="1"/>
        <v>-1.0000000000000002E-3</v>
      </c>
    </row>
    <row r="8" spans="1:10" x14ac:dyDescent="0.2">
      <c r="A8" s="8" t="s">
        <v>28</v>
      </c>
      <c r="B8" t="s">
        <v>19</v>
      </c>
      <c r="C8" t="s">
        <v>59</v>
      </c>
      <c r="D8" t="s">
        <v>60</v>
      </c>
      <c r="E8">
        <v>55.844999999999999</v>
      </c>
      <c r="F8" s="5">
        <f>55.845/1000000000</f>
        <v>5.5845000000000001E-8</v>
      </c>
      <c r="G8" s="5">
        <f t="shared" si="0"/>
        <v>1.0000000000000001E-9</v>
      </c>
      <c r="H8">
        <v>-1000</v>
      </c>
      <c r="I8">
        <f>G8/'GEM Default'!G8</f>
        <v>1.0000000000000001E-9</v>
      </c>
      <c r="J8">
        <f t="shared" si="1"/>
        <v>-1.0000000000000002E-6</v>
      </c>
    </row>
    <row r="9" spans="1:10" x14ac:dyDescent="0.2">
      <c r="A9" t="s">
        <v>29</v>
      </c>
      <c r="B9" t="s">
        <v>30</v>
      </c>
      <c r="C9" t="s">
        <v>61</v>
      </c>
      <c r="D9" t="s">
        <v>62</v>
      </c>
      <c r="E9">
        <v>55.844999999999999</v>
      </c>
      <c r="F9">
        <f>(0.01*E9)/1000</f>
        <v>5.5845000000000005E-4</v>
      </c>
      <c r="G9">
        <f t="shared" si="0"/>
        <v>1.0000000000000001E-5</v>
      </c>
      <c r="H9">
        <v>-1000</v>
      </c>
      <c r="I9">
        <f>G9/'GEM Default'!G9</f>
        <v>1.0000000000000001E-5</v>
      </c>
      <c r="J9">
        <f t="shared" si="1"/>
        <v>-0.01</v>
      </c>
    </row>
    <row r="10" spans="1:10" x14ac:dyDescent="0.2">
      <c r="A10" s="6" t="s">
        <v>80</v>
      </c>
      <c r="B10" t="s">
        <v>91</v>
      </c>
      <c r="C10" t="s">
        <v>100</v>
      </c>
      <c r="D10" t="s">
        <v>101</v>
      </c>
      <c r="E10">
        <v>180.15600000000001</v>
      </c>
      <c r="F10">
        <v>2</v>
      </c>
      <c r="G10">
        <f t="shared" si="0"/>
        <v>1.1101489819933835E-2</v>
      </c>
      <c r="H10">
        <v>-10</v>
      </c>
      <c r="I10">
        <f>G10/'GEM Default'!G10</f>
        <v>1.1101489819933834</v>
      </c>
      <c r="J10">
        <f t="shared" si="1"/>
        <v>-11.101489819933834</v>
      </c>
    </row>
    <row r="11" spans="1:10" x14ac:dyDescent="0.2">
      <c r="A11" t="s">
        <v>8</v>
      </c>
      <c r="B11" t="s">
        <v>22</v>
      </c>
      <c r="C11" t="s">
        <v>57</v>
      </c>
      <c r="D11" t="s">
        <v>58</v>
      </c>
      <c r="E11">
        <v>1.0078400000000001</v>
      </c>
      <c r="F11">
        <f>(6*E11)/141.958822+(3*2*E11)/136.085542</f>
        <v>8.7032721388768053E-2</v>
      </c>
      <c r="G11">
        <f t="shared" si="0"/>
        <v>8.6355692757548869E-2</v>
      </c>
      <c r="H11">
        <v>-1000</v>
      </c>
      <c r="I11">
        <f>G11/'GEM Default'!G11</f>
        <v>8.6355692757548869E-2</v>
      </c>
      <c r="J11">
        <f t="shared" si="1"/>
        <v>-86.355692757548866</v>
      </c>
    </row>
    <row r="12" spans="1:10" x14ac:dyDescent="0.2">
      <c r="A12" s="8" t="s">
        <v>14</v>
      </c>
      <c r="B12" t="s">
        <v>17</v>
      </c>
      <c r="C12" t="s">
        <v>41</v>
      </c>
      <c r="D12" t="s">
        <v>42</v>
      </c>
      <c r="E12">
        <v>18.015280000000001</v>
      </c>
      <c r="F12" s="11">
        <v>18.015280000000001</v>
      </c>
      <c r="G12" s="11">
        <f t="shared" si="0"/>
        <v>1</v>
      </c>
      <c r="H12">
        <v>-1000</v>
      </c>
      <c r="I12">
        <f>G12/'GEM Default'!G12</f>
        <v>1</v>
      </c>
      <c r="J12">
        <f t="shared" si="1"/>
        <v>-1000</v>
      </c>
    </row>
    <row r="13" spans="1:10" x14ac:dyDescent="0.2">
      <c r="A13" s="7" t="s">
        <v>12</v>
      </c>
      <c r="B13" t="s">
        <v>26</v>
      </c>
      <c r="C13" t="s">
        <v>70</v>
      </c>
      <c r="D13" t="s">
        <v>71</v>
      </c>
      <c r="E13">
        <v>39.098300000000002</v>
      </c>
      <c r="F13">
        <f>(3*E13)/136.085542</f>
        <v>0.86192036476586187</v>
      </c>
      <c r="G13">
        <f t="shared" si="0"/>
        <v>2.2044957575287464E-2</v>
      </c>
      <c r="H13">
        <v>-1000</v>
      </c>
      <c r="I13">
        <f>G13/'GEM Default'!G13</f>
        <v>2.2044957575287464E-2</v>
      </c>
      <c r="J13">
        <f t="shared" si="1"/>
        <v>-22.044957575287462</v>
      </c>
    </row>
    <row r="14" spans="1:10" x14ac:dyDescent="0.2">
      <c r="A14" s="7" t="s">
        <v>27</v>
      </c>
      <c r="B14" t="s">
        <v>65</v>
      </c>
      <c r="C14" t="s">
        <v>63</v>
      </c>
      <c r="D14" t="s">
        <v>64</v>
      </c>
      <c r="E14">
        <v>24.305</v>
      </c>
      <c r="F14">
        <f>(2*E14)/1000</f>
        <v>4.861E-2</v>
      </c>
      <c r="G14">
        <f t="shared" si="0"/>
        <v>2E-3</v>
      </c>
      <c r="H14">
        <v>-1000</v>
      </c>
      <c r="I14">
        <f>G14/'GEM Default'!G14</f>
        <v>2E-3</v>
      </c>
      <c r="J14">
        <f t="shared" si="1"/>
        <v>-2</v>
      </c>
    </row>
    <row r="15" spans="1:10" x14ac:dyDescent="0.2">
      <c r="A15" s="4" t="s">
        <v>35</v>
      </c>
      <c r="B15" t="s">
        <v>36</v>
      </c>
      <c r="C15" t="s">
        <v>66</v>
      </c>
      <c r="D15" t="s">
        <v>67</v>
      </c>
      <c r="E15">
        <v>54.938043999999998</v>
      </c>
      <c r="F15" s="5">
        <f>54.938044/1000000</f>
        <v>5.4938043999999995E-5</v>
      </c>
      <c r="G15" s="5">
        <f t="shared" si="0"/>
        <v>9.9999999999999995E-7</v>
      </c>
      <c r="H15">
        <v>-1000</v>
      </c>
      <c r="I15">
        <f>G15/'GEM Default'!G15</f>
        <v>9.9999999999999995E-7</v>
      </c>
      <c r="J15">
        <f t="shared" si="1"/>
        <v>-1E-3</v>
      </c>
    </row>
    <row r="16" spans="1:10" x14ac:dyDescent="0.2">
      <c r="A16" s="4" t="s">
        <v>87</v>
      </c>
      <c r="B16" t="s">
        <v>81</v>
      </c>
      <c r="C16" t="s">
        <v>102</v>
      </c>
      <c r="D16" t="s">
        <v>103</v>
      </c>
      <c r="E16">
        <v>159.9</v>
      </c>
      <c r="F16" s="5">
        <f>159.9/1000000</f>
        <v>1.5990000000000001E-4</v>
      </c>
      <c r="G16" s="5">
        <f t="shared" si="0"/>
        <v>9.9999999999999995E-7</v>
      </c>
      <c r="H16">
        <v>-1000</v>
      </c>
      <c r="I16">
        <f>G16/'GEM Default'!G16</f>
        <v>9.9999999999999995E-7</v>
      </c>
      <c r="J16">
        <f t="shared" si="1"/>
        <v>-1E-3</v>
      </c>
    </row>
    <row r="17" spans="1:10" x14ac:dyDescent="0.2">
      <c r="A17" t="s">
        <v>10</v>
      </c>
      <c r="B17" t="s">
        <v>23</v>
      </c>
      <c r="C17" t="s">
        <v>72</v>
      </c>
      <c r="D17" t="s">
        <v>73</v>
      </c>
      <c r="E17">
        <v>22.989768999999999</v>
      </c>
      <c r="F17">
        <f>(0.5*E17)/58.443+(6*2*E17)/141.958822</f>
        <v>2.1400463218952366</v>
      </c>
      <c r="G17">
        <f t="shared" si="0"/>
        <v>9.3086899737671855E-2</v>
      </c>
      <c r="H17">
        <v>-1000</v>
      </c>
      <c r="I17">
        <f>G17/'GEM Default'!G17</f>
        <v>9.3086899737671855E-2</v>
      </c>
      <c r="J17">
        <f t="shared" si="1"/>
        <v>-93.086899737671857</v>
      </c>
    </row>
    <row r="18" spans="1:10" x14ac:dyDescent="0.2">
      <c r="A18" s="6" t="s">
        <v>45</v>
      </c>
      <c r="B18" t="s">
        <v>112</v>
      </c>
      <c r="C18" t="s">
        <v>46</v>
      </c>
      <c r="D18" t="s">
        <v>47</v>
      </c>
      <c r="E18">
        <v>18.039000000000001</v>
      </c>
      <c r="F18">
        <f>(1*E18)/53.491</f>
        <v>0.3372343010973809</v>
      </c>
      <c r="G18">
        <f t="shared" si="0"/>
        <v>1.8694733693518536E-2</v>
      </c>
      <c r="H18">
        <v>-1000</v>
      </c>
      <c r="I18">
        <f>G18/'GEM Default'!G18</f>
        <v>1.8694733693518536E-2</v>
      </c>
      <c r="J18">
        <f t="shared" si="1"/>
        <v>-18.694733693518536</v>
      </c>
    </row>
    <row r="19" spans="1:10" x14ac:dyDescent="0.2">
      <c r="A19" s="4" t="s">
        <v>39</v>
      </c>
      <c r="B19" t="s">
        <v>40</v>
      </c>
      <c r="C19" t="s">
        <v>68</v>
      </c>
      <c r="D19" t="s">
        <v>69</v>
      </c>
      <c r="E19">
        <v>58.693399999999997</v>
      </c>
      <c r="F19" s="11">
        <f>58.6934/1000000</f>
        <v>5.8693399999999996E-5</v>
      </c>
      <c r="G19" s="11">
        <f t="shared" si="0"/>
        <v>9.9999999999999995E-7</v>
      </c>
      <c r="H19">
        <v>-1000</v>
      </c>
      <c r="I19">
        <f>G19/'GEM Default'!G19</f>
        <v>9.9999999999999995E-7</v>
      </c>
      <c r="J19">
        <f t="shared" si="1"/>
        <v>-1E-3</v>
      </c>
    </row>
    <row r="20" spans="1:10" x14ac:dyDescent="0.2">
      <c r="A20" s="6" t="s">
        <v>9</v>
      </c>
      <c r="B20" t="s">
        <v>78</v>
      </c>
      <c r="C20" t="s">
        <v>104</v>
      </c>
      <c r="D20" t="s">
        <v>105</v>
      </c>
      <c r="E20">
        <v>15.999000000000001</v>
      </c>
      <c r="F20" s="11">
        <v>15.999000000000001</v>
      </c>
      <c r="G20" s="11">
        <f t="shared" si="0"/>
        <v>1</v>
      </c>
      <c r="H20">
        <v>-1000</v>
      </c>
      <c r="I20">
        <f>G20/'GEM Default'!G20</f>
        <v>1</v>
      </c>
      <c r="J20">
        <f t="shared" si="1"/>
        <v>-1000</v>
      </c>
    </row>
    <row r="21" spans="1:10" x14ac:dyDescent="0.2">
      <c r="A21" s="7" t="s">
        <v>15</v>
      </c>
      <c r="B21" t="s">
        <v>20</v>
      </c>
      <c r="C21" t="s">
        <v>49</v>
      </c>
      <c r="D21" t="s">
        <v>50</v>
      </c>
      <c r="E21">
        <v>94.971400000000003</v>
      </c>
      <c r="F21">
        <f>(6*E21)/141.958822+(3*E21)/136.085542</f>
        <v>6.1076805552886206</v>
      </c>
      <c r="G21">
        <f t="shared" si="0"/>
        <v>6.4310735182261408E-2</v>
      </c>
      <c r="H21">
        <v>-1000</v>
      </c>
      <c r="I21">
        <f>G21/'GEM Default'!G21</f>
        <v>6.4310735182261408E-2</v>
      </c>
      <c r="J21">
        <f t="shared" si="1"/>
        <v>-64.310735182261411</v>
      </c>
    </row>
    <row r="22" spans="1:10" x14ac:dyDescent="0.2">
      <c r="A22" t="s">
        <v>88</v>
      </c>
      <c r="B22" t="s">
        <v>82</v>
      </c>
      <c r="C22" t="s">
        <v>106</v>
      </c>
      <c r="D22" t="s">
        <v>107</v>
      </c>
      <c r="E22">
        <v>142.97</v>
      </c>
      <c r="F22">
        <v>0</v>
      </c>
      <c r="G22">
        <f t="shared" si="0"/>
        <v>0</v>
      </c>
      <c r="H22">
        <v>-1000</v>
      </c>
      <c r="I22">
        <f>G22/'GEM Default'!G22</f>
        <v>0</v>
      </c>
      <c r="J22">
        <f t="shared" si="1"/>
        <v>0</v>
      </c>
    </row>
    <row r="23" spans="1:10" x14ac:dyDescent="0.2">
      <c r="A23" t="s">
        <v>92</v>
      </c>
      <c r="B23" t="s">
        <v>83</v>
      </c>
      <c r="C23" t="s">
        <v>108</v>
      </c>
      <c r="D23" t="s">
        <v>109</v>
      </c>
      <c r="E23">
        <v>126.97</v>
      </c>
      <c r="F23">
        <v>0</v>
      </c>
      <c r="G23">
        <f t="shared" si="0"/>
        <v>0</v>
      </c>
      <c r="H23">
        <v>-1000</v>
      </c>
      <c r="I23">
        <f>G23/'GEM Default'!G23</f>
        <v>0</v>
      </c>
      <c r="J23">
        <f t="shared" si="1"/>
        <v>0</v>
      </c>
    </row>
    <row r="24" spans="1:10" x14ac:dyDescent="0.2">
      <c r="A24" s="7" t="s">
        <v>21</v>
      </c>
      <c r="B24" t="s">
        <v>48</v>
      </c>
      <c r="C24" t="s">
        <v>51</v>
      </c>
      <c r="D24" t="s">
        <v>52</v>
      </c>
      <c r="E24">
        <v>96.06</v>
      </c>
      <c r="F24">
        <f>(2*E24)/1000</f>
        <v>0.19212000000000001</v>
      </c>
      <c r="G24">
        <f t="shared" si="0"/>
        <v>2E-3</v>
      </c>
      <c r="H24">
        <v>-1000</v>
      </c>
      <c r="I24">
        <f>G24/'GEM Default'!G24</f>
        <v>2E-3</v>
      </c>
      <c r="J24">
        <f t="shared" si="1"/>
        <v>-2</v>
      </c>
    </row>
    <row r="25" spans="1:10" x14ac:dyDescent="0.2">
      <c r="A25" t="s">
        <v>93</v>
      </c>
      <c r="B25" t="s">
        <v>84</v>
      </c>
      <c r="C25" t="s">
        <v>110</v>
      </c>
      <c r="D25" t="s">
        <v>111</v>
      </c>
      <c r="E25">
        <v>247.8</v>
      </c>
      <c r="F25">
        <v>0</v>
      </c>
      <c r="G25">
        <f t="shared" si="0"/>
        <v>0</v>
      </c>
      <c r="H25">
        <v>-1000</v>
      </c>
      <c r="I25">
        <f>G25/'GEM Default'!G25</f>
        <v>0</v>
      </c>
      <c r="J25">
        <f t="shared" si="1"/>
        <v>0</v>
      </c>
    </row>
    <row r="26" spans="1:10" x14ac:dyDescent="0.2">
      <c r="A26" s="4" t="s">
        <v>37</v>
      </c>
      <c r="B26" t="s">
        <v>38</v>
      </c>
      <c r="C26" t="s">
        <v>74</v>
      </c>
      <c r="D26" t="s">
        <v>75</v>
      </c>
      <c r="E26">
        <v>65.38</v>
      </c>
      <c r="F26" s="5">
        <f>65.38/1000000</f>
        <v>6.5380000000000001E-5</v>
      </c>
      <c r="G26" s="5">
        <f t="shared" si="0"/>
        <v>1.0000000000000002E-6</v>
      </c>
      <c r="H26">
        <v>-1000</v>
      </c>
      <c r="I26">
        <f>G26/'GEM Default'!G26</f>
        <v>1.0000000000000002E-6</v>
      </c>
      <c r="J26">
        <f t="shared" si="1"/>
        <v>-1.0000000000000002E-3</v>
      </c>
    </row>
  </sheetData>
  <pageMargins left="0.7" right="0.7" top="0.75" bottom="0.75" header="0.3" footer="0.3"/>
  <pageSetup orientation="portrait" r:id="rId1"/>
  <ignoredErrors>
    <ignoredError sqref="F24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workbookViewId="0">
      <pane ySplit="1" topLeftCell="A2" activePane="bottomLeft" state="frozen"/>
      <selection pane="bottomLeft"/>
    </sheetView>
  </sheetViews>
  <sheetFormatPr defaultRowHeight="14.25" x14ac:dyDescent="0.2"/>
  <cols>
    <col min="1" max="1" width="18.625" bestFit="1" customWidth="1"/>
    <col min="2" max="2" width="10.625" bestFit="1" customWidth="1"/>
    <col min="3" max="4" width="20.625" bestFit="1" customWidth="1"/>
    <col min="5" max="5" width="9.875" bestFit="1" customWidth="1"/>
    <col min="6" max="6" width="12.25" bestFit="1" customWidth="1"/>
    <col min="10" max="10" width="12.5" bestFit="1" customWidth="1"/>
  </cols>
  <sheetData>
    <row r="1" spans="1:10" s="2" customFormat="1" ht="15" x14ac:dyDescent="0.25">
      <c r="A1" s="2" t="s">
        <v>0</v>
      </c>
      <c r="B1" s="2" t="s">
        <v>16</v>
      </c>
      <c r="C1" s="2" t="s">
        <v>1</v>
      </c>
      <c r="D1" s="2" t="s">
        <v>2</v>
      </c>
      <c r="E1" s="2" t="s">
        <v>166</v>
      </c>
      <c r="F1" s="2" t="s">
        <v>7</v>
      </c>
      <c r="G1" s="2" t="s">
        <v>13</v>
      </c>
      <c r="H1" s="2" t="s">
        <v>4</v>
      </c>
      <c r="I1" s="2" t="s">
        <v>5</v>
      </c>
      <c r="J1" s="2" t="s">
        <v>6</v>
      </c>
    </row>
    <row r="2" spans="1:10" x14ac:dyDescent="0.2">
      <c r="A2" s="7" t="s">
        <v>85</v>
      </c>
      <c r="B2" t="s">
        <v>76</v>
      </c>
      <c r="C2" t="s">
        <v>94</v>
      </c>
      <c r="D2" t="s">
        <v>95</v>
      </c>
      <c r="E2">
        <v>40.078000000000003</v>
      </c>
      <c r="F2">
        <f>'M9 + glucose'!F2*(1.6227/0.6227)</f>
        <v>1.0443965087522083E-2</v>
      </c>
      <c r="G2">
        <f>F2/E2</f>
        <v>2.6059097478721698E-4</v>
      </c>
      <c r="H2">
        <v>-1000</v>
      </c>
      <c r="I2">
        <f>G2/'GEM Default'!G2</f>
        <v>2.6059097478721698E-4</v>
      </c>
      <c r="J2">
        <f>H2*I2</f>
        <v>-0.26059097478721699</v>
      </c>
    </row>
    <row r="3" spans="1:10" x14ac:dyDescent="0.2">
      <c r="A3" s="8" t="s">
        <v>79</v>
      </c>
      <c r="B3" t="s">
        <v>89</v>
      </c>
      <c r="C3" t="s">
        <v>96</v>
      </c>
      <c r="D3" s="1" t="s">
        <v>97</v>
      </c>
      <c r="E3" s="3">
        <v>1355.365</v>
      </c>
      <c r="F3">
        <f>'M9 + glucose'!F3*(1.6227/0.6227)</f>
        <v>0.3531958865424763</v>
      </c>
      <c r="G3" s="11">
        <f t="shared" ref="G3:G26" si="0">F3/E3</f>
        <v>2.6059097478721693E-4</v>
      </c>
      <c r="H3">
        <v>-0.01</v>
      </c>
      <c r="I3">
        <f>G3/'GEM Default'!G3</f>
        <v>2.6059097478721693E-4</v>
      </c>
      <c r="J3">
        <f t="shared" ref="J3:J26" si="1">H3*I3</f>
        <v>-2.6059097478721693E-6</v>
      </c>
    </row>
    <row r="4" spans="1:10" x14ac:dyDescent="0.2">
      <c r="A4" s="7" t="s">
        <v>11</v>
      </c>
      <c r="B4" t="s">
        <v>77</v>
      </c>
      <c r="C4" t="s">
        <v>98</v>
      </c>
      <c r="D4" t="s">
        <v>99</v>
      </c>
      <c r="E4">
        <v>35.453000000000003</v>
      </c>
      <c r="F4">
        <f>'M9 + glucose'!F4*(1.6227/0.6227)</f>
        <v>2.5388107329265339</v>
      </c>
      <c r="G4">
        <f t="shared" si="0"/>
        <v>7.1610603698601921E-2</v>
      </c>
      <c r="H4">
        <v>-1000</v>
      </c>
      <c r="I4">
        <f>G4/'GEM Default'!G4</f>
        <v>7.1610603698601921E-2</v>
      </c>
      <c r="J4">
        <f t="shared" si="1"/>
        <v>-71.610603698601921</v>
      </c>
    </row>
    <row r="5" spans="1:10" x14ac:dyDescent="0.2">
      <c r="A5" s="8" t="s">
        <v>90</v>
      </c>
      <c r="B5" t="s">
        <v>18</v>
      </c>
      <c r="C5" t="s">
        <v>43</v>
      </c>
      <c r="D5" t="s">
        <v>44</v>
      </c>
      <c r="E5">
        <v>44.01</v>
      </c>
      <c r="F5">
        <f>'M9 + glucose'!F5*(1.6227/0.6227)</f>
        <v>114.68608800385418</v>
      </c>
      <c r="G5" s="11">
        <f t="shared" si="0"/>
        <v>2.6059097478721696</v>
      </c>
      <c r="H5">
        <v>-1000</v>
      </c>
      <c r="I5">
        <f>G5/'GEM Default'!G5</f>
        <v>2.6059097478721696</v>
      </c>
      <c r="J5">
        <f t="shared" si="1"/>
        <v>-2605.9097478721696</v>
      </c>
    </row>
    <row r="6" spans="1:10" x14ac:dyDescent="0.2">
      <c r="A6" s="4" t="s">
        <v>33</v>
      </c>
      <c r="B6" t="s">
        <v>34</v>
      </c>
      <c r="C6" t="s">
        <v>53</v>
      </c>
      <c r="D6" t="s">
        <v>54</v>
      </c>
      <c r="E6">
        <v>28.01</v>
      </c>
      <c r="F6">
        <f>'M9 + glucose'!F6*(1.6227/0.6227)</f>
        <v>7.2991532037899474E-5</v>
      </c>
      <c r="G6" s="5">
        <f t="shared" si="0"/>
        <v>2.6059097478721697E-6</v>
      </c>
      <c r="H6">
        <v>-1000</v>
      </c>
      <c r="I6">
        <f>G6/'GEM Default'!G6</f>
        <v>2.6059097478721697E-6</v>
      </c>
      <c r="J6">
        <f t="shared" si="1"/>
        <v>-2.6059097478721696E-3</v>
      </c>
    </row>
    <row r="7" spans="1:10" x14ac:dyDescent="0.2">
      <c r="A7" s="4" t="s">
        <v>31</v>
      </c>
      <c r="B7" t="s">
        <v>32</v>
      </c>
      <c r="C7" t="s">
        <v>55</v>
      </c>
      <c r="D7" t="s">
        <v>56</v>
      </c>
      <c r="E7">
        <v>63.545999999999999</v>
      </c>
      <c r="F7">
        <f>'M9 + glucose'!F7*(1.6227/0.6227)</f>
        <v>1.655951408382849E-4</v>
      </c>
      <c r="G7" s="5">
        <f t="shared" si="0"/>
        <v>2.6059097478721697E-6</v>
      </c>
      <c r="H7">
        <v>-1000</v>
      </c>
      <c r="I7">
        <f>G7/'GEM Default'!G7</f>
        <v>2.6059097478721697E-6</v>
      </c>
      <c r="J7">
        <f t="shared" si="1"/>
        <v>-2.6059097478721696E-3</v>
      </c>
    </row>
    <row r="8" spans="1:10" x14ac:dyDescent="0.2">
      <c r="A8" s="8" t="s">
        <v>28</v>
      </c>
      <c r="B8" t="s">
        <v>19</v>
      </c>
      <c r="C8" t="s">
        <v>59</v>
      </c>
      <c r="D8" t="s">
        <v>60</v>
      </c>
      <c r="E8">
        <v>55.844999999999999</v>
      </c>
      <c r="F8">
        <f>'M9 + glucose'!F8*(1.6227/0.6227)</f>
        <v>1.4552702986992132E-7</v>
      </c>
      <c r="G8" s="5">
        <f t="shared" si="0"/>
        <v>2.6059097478721698E-9</v>
      </c>
      <c r="H8">
        <v>-1000</v>
      </c>
      <c r="I8">
        <f>G8/'GEM Default'!G8</f>
        <v>2.6059097478721698E-9</v>
      </c>
      <c r="J8">
        <f t="shared" si="1"/>
        <v>-2.6059097478721697E-6</v>
      </c>
    </row>
    <row r="9" spans="1:10" x14ac:dyDescent="0.2">
      <c r="A9" t="s">
        <v>29</v>
      </c>
      <c r="B9" t="s">
        <v>30</v>
      </c>
      <c r="C9" t="s">
        <v>61</v>
      </c>
      <c r="D9" t="s">
        <v>62</v>
      </c>
      <c r="E9">
        <v>55.844999999999999</v>
      </c>
      <c r="F9">
        <f>'M9 + glucose'!F9*(1.6227/0.6227)</f>
        <v>1.4552702986992132E-3</v>
      </c>
      <c r="G9">
        <f t="shared" si="0"/>
        <v>2.6059097478721698E-5</v>
      </c>
      <c r="H9">
        <v>-1000</v>
      </c>
      <c r="I9">
        <f>G9/'GEM Default'!G9</f>
        <v>2.6059097478721698E-5</v>
      </c>
      <c r="J9">
        <f t="shared" si="1"/>
        <v>-2.6059097478721698E-2</v>
      </c>
    </row>
    <row r="10" spans="1:10" x14ac:dyDescent="0.2">
      <c r="A10" s="6" t="s">
        <v>80</v>
      </c>
      <c r="B10" t="s">
        <v>91</v>
      </c>
      <c r="C10" t="s">
        <v>100</v>
      </c>
      <c r="D10" t="s">
        <v>101</v>
      </c>
      <c r="E10">
        <v>180.15600000000001</v>
      </c>
      <c r="F10">
        <f>'M9 + glucose'!F10*(1.6227/0.6227)</f>
        <v>5.2118194957443391</v>
      </c>
      <c r="G10">
        <f t="shared" si="0"/>
        <v>2.8929480537669236E-2</v>
      </c>
      <c r="H10">
        <v>-10</v>
      </c>
      <c r="I10">
        <f>G10/'GEM Default'!G10</f>
        <v>2.8929480537669234</v>
      </c>
      <c r="J10">
        <f t="shared" si="1"/>
        <v>-28.929480537669235</v>
      </c>
    </row>
    <row r="11" spans="1:10" x14ac:dyDescent="0.2">
      <c r="A11" t="s">
        <v>8</v>
      </c>
      <c r="B11" t="s">
        <v>22</v>
      </c>
      <c r="C11" t="s">
        <v>57</v>
      </c>
      <c r="D11" t="s">
        <v>58</v>
      </c>
      <c r="E11">
        <v>1.0078400000000001</v>
      </c>
      <c r="F11">
        <f>'M9 + glucose'!F11*(1.6227/0.6227)</f>
        <v>0.22679941705083334</v>
      </c>
      <c r="G11">
        <f t="shared" si="0"/>
        <v>0.2250351415411507</v>
      </c>
      <c r="H11">
        <v>-1000</v>
      </c>
      <c r="I11">
        <f>G11/'GEM Default'!G11</f>
        <v>0.2250351415411507</v>
      </c>
      <c r="J11">
        <f t="shared" si="1"/>
        <v>-225.03514154115069</v>
      </c>
    </row>
    <row r="12" spans="1:10" x14ac:dyDescent="0.2">
      <c r="A12" s="8" t="s">
        <v>14</v>
      </c>
      <c r="B12" t="s">
        <v>17</v>
      </c>
      <c r="C12" t="s">
        <v>41</v>
      </c>
      <c r="D12" t="s">
        <v>42</v>
      </c>
      <c r="E12">
        <v>18.015280000000001</v>
      </c>
      <c r="F12">
        <f>'M9 + glucose'!F12*(1.6227/0.6227)</f>
        <v>46.946193762646537</v>
      </c>
      <c r="G12" s="11">
        <f t="shared" si="0"/>
        <v>2.6059097478721696</v>
      </c>
      <c r="H12">
        <v>-1000</v>
      </c>
      <c r="I12">
        <f>G12/'GEM Default'!G12</f>
        <v>2.6059097478721696</v>
      </c>
      <c r="J12">
        <f t="shared" si="1"/>
        <v>-2605.9097478721696</v>
      </c>
    </row>
    <row r="13" spans="1:10" x14ac:dyDescent="0.2">
      <c r="A13" s="7" t="s">
        <v>12</v>
      </c>
      <c r="B13" t="s">
        <v>26</v>
      </c>
      <c r="C13" t="s">
        <v>70</v>
      </c>
      <c r="D13" t="s">
        <v>71</v>
      </c>
      <c r="E13">
        <v>39.098300000000002</v>
      </c>
      <c r="F13">
        <f>'M9 + glucose'!F13*(1.6227/0.6227)</f>
        <v>2.2460866804328954</v>
      </c>
      <c r="G13">
        <f t="shared" si="0"/>
        <v>5.7447169836870024E-2</v>
      </c>
      <c r="H13">
        <v>-1000</v>
      </c>
      <c r="I13">
        <f>G13/'GEM Default'!G13</f>
        <v>5.7447169836870024E-2</v>
      </c>
      <c r="J13">
        <f t="shared" si="1"/>
        <v>-57.447169836870025</v>
      </c>
    </row>
    <row r="14" spans="1:10" x14ac:dyDescent="0.2">
      <c r="A14" s="7" t="s">
        <v>27</v>
      </c>
      <c r="B14" t="s">
        <v>65</v>
      </c>
      <c r="C14" t="s">
        <v>63</v>
      </c>
      <c r="D14" t="s">
        <v>64</v>
      </c>
      <c r="E14">
        <v>24.305</v>
      </c>
      <c r="F14">
        <f>'M9 + glucose'!F14*(1.6227/0.6227)</f>
        <v>0.12667327284406615</v>
      </c>
      <c r="G14">
        <f t="shared" si="0"/>
        <v>5.2118194957443392E-3</v>
      </c>
      <c r="H14">
        <v>-1000</v>
      </c>
      <c r="I14">
        <f>G14/'GEM Default'!G14</f>
        <v>5.2118194957443392E-3</v>
      </c>
      <c r="J14">
        <f t="shared" si="1"/>
        <v>-5.2118194957443391</v>
      </c>
    </row>
    <row r="15" spans="1:10" x14ac:dyDescent="0.2">
      <c r="A15" s="4" t="s">
        <v>35</v>
      </c>
      <c r="B15" t="s">
        <v>36</v>
      </c>
      <c r="C15" t="s">
        <v>66</v>
      </c>
      <c r="D15" t="s">
        <v>67</v>
      </c>
      <c r="E15">
        <v>54.938043999999998</v>
      </c>
      <c r="F15">
        <f>'M9 + glucose'!F15*(1.6227/0.6227)</f>
        <v>1.4316358438863015E-4</v>
      </c>
      <c r="G15" s="5">
        <f t="shared" si="0"/>
        <v>2.6059097478721697E-6</v>
      </c>
      <c r="H15">
        <v>-1000</v>
      </c>
      <c r="I15">
        <f>G15/'GEM Default'!G15</f>
        <v>2.6059097478721697E-6</v>
      </c>
      <c r="J15">
        <f t="shared" si="1"/>
        <v>-2.6059097478721696E-3</v>
      </c>
    </row>
    <row r="16" spans="1:10" x14ac:dyDescent="0.2">
      <c r="A16" s="4" t="s">
        <v>87</v>
      </c>
      <c r="B16" t="s">
        <v>81</v>
      </c>
      <c r="C16" t="s">
        <v>102</v>
      </c>
      <c r="D16" t="s">
        <v>103</v>
      </c>
      <c r="E16">
        <v>159.9</v>
      </c>
      <c r="F16">
        <f>'M9 + glucose'!F16*(1.6227/0.6227)</f>
        <v>4.1668496868475997E-4</v>
      </c>
      <c r="G16" s="5">
        <f t="shared" si="0"/>
        <v>2.6059097478721697E-6</v>
      </c>
      <c r="H16">
        <v>-1000</v>
      </c>
      <c r="I16">
        <f>G16/'GEM Default'!G16</f>
        <v>2.6059097478721697E-6</v>
      </c>
      <c r="J16">
        <f t="shared" si="1"/>
        <v>-2.6059097478721696E-3</v>
      </c>
    </row>
    <row r="17" spans="1:10" x14ac:dyDescent="0.2">
      <c r="A17" t="s">
        <v>10</v>
      </c>
      <c r="B17" t="s">
        <v>23</v>
      </c>
      <c r="C17" t="s">
        <v>72</v>
      </c>
      <c r="D17" t="s">
        <v>73</v>
      </c>
      <c r="E17">
        <v>22.989768999999999</v>
      </c>
      <c r="F17">
        <f>'M9 + glucose'!F17*(1.6227/0.6227)</f>
        <v>5.5767675711247797</v>
      </c>
      <c r="G17">
        <f t="shared" si="0"/>
        <v>0.2425760594255984</v>
      </c>
      <c r="H17">
        <v>-1000</v>
      </c>
      <c r="I17">
        <f>G17/'GEM Default'!G17</f>
        <v>0.2425760594255984</v>
      </c>
      <c r="J17">
        <f t="shared" si="1"/>
        <v>-242.5760594255984</v>
      </c>
    </row>
    <row r="18" spans="1:10" x14ac:dyDescent="0.2">
      <c r="A18" s="6" t="s">
        <v>45</v>
      </c>
      <c r="B18" t="s">
        <v>112</v>
      </c>
      <c r="C18" t="s">
        <v>46</v>
      </c>
      <c r="D18" t="s">
        <v>47</v>
      </c>
      <c r="E18">
        <v>18.039000000000001</v>
      </c>
      <c r="F18">
        <f>'M9 + glucose'!F18*(1.6227/0.6227)</f>
        <v>0.87880215254652316</v>
      </c>
      <c r="G18">
        <f t="shared" si="0"/>
        <v>4.8716788765814242E-2</v>
      </c>
      <c r="H18">
        <v>-1000</v>
      </c>
      <c r="I18">
        <f>G18/'GEM Default'!G18</f>
        <v>4.8716788765814242E-2</v>
      </c>
      <c r="J18">
        <f t="shared" si="1"/>
        <v>-48.716788765814243</v>
      </c>
    </row>
    <row r="19" spans="1:10" x14ac:dyDescent="0.2">
      <c r="A19" s="4" t="s">
        <v>39</v>
      </c>
      <c r="B19" t="s">
        <v>40</v>
      </c>
      <c r="C19" t="s">
        <v>68</v>
      </c>
      <c r="D19" t="s">
        <v>69</v>
      </c>
      <c r="E19">
        <v>58.693399999999997</v>
      </c>
      <c r="F19">
        <f>'M9 + glucose'!F19*(1.6227/0.6227)</f>
        <v>1.529497031957604E-4</v>
      </c>
      <c r="G19" s="11">
        <f t="shared" si="0"/>
        <v>2.6059097478721697E-6</v>
      </c>
      <c r="H19">
        <v>-1000</v>
      </c>
      <c r="I19">
        <f>G19/'GEM Default'!G19</f>
        <v>2.6059097478721697E-6</v>
      </c>
      <c r="J19">
        <f t="shared" si="1"/>
        <v>-2.6059097478721696E-3</v>
      </c>
    </row>
    <row r="20" spans="1:10" x14ac:dyDescent="0.2">
      <c r="A20" s="6" t="s">
        <v>9</v>
      </c>
      <c r="B20" t="s">
        <v>78</v>
      </c>
      <c r="C20" t="s">
        <v>104</v>
      </c>
      <c r="D20" t="s">
        <v>105</v>
      </c>
      <c r="E20">
        <v>15.999000000000001</v>
      </c>
      <c r="F20">
        <f>'M9 + glucose'!F20*(1.6227/0.6227)</f>
        <v>41.691950056206842</v>
      </c>
      <c r="G20" s="11">
        <f t="shared" si="0"/>
        <v>2.6059097478721696</v>
      </c>
      <c r="H20">
        <v>-1000</v>
      </c>
      <c r="I20">
        <f>G20/'GEM Default'!G20</f>
        <v>2.6059097478721696</v>
      </c>
      <c r="J20">
        <f t="shared" si="1"/>
        <v>-2605.9097478721696</v>
      </c>
    </row>
    <row r="21" spans="1:10" x14ac:dyDescent="0.2">
      <c r="A21" s="7" t="s">
        <v>15</v>
      </c>
      <c r="B21" t="s">
        <v>20</v>
      </c>
      <c r="C21" t="s">
        <v>49</v>
      </c>
      <c r="D21" t="s">
        <v>50</v>
      </c>
      <c r="E21">
        <v>94.971400000000003</v>
      </c>
      <c r="F21">
        <f>'M9 + glucose'!F21*(1.6227/0.6227)</f>
        <v>15.916064295915922</v>
      </c>
      <c r="G21">
        <f t="shared" si="0"/>
        <v>0.16758797170428066</v>
      </c>
      <c r="H21">
        <v>-1000</v>
      </c>
      <c r="I21">
        <f>G21/'GEM Default'!G21</f>
        <v>0.16758797170428066</v>
      </c>
      <c r="J21">
        <f t="shared" si="1"/>
        <v>-167.58797170428068</v>
      </c>
    </row>
    <row r="22" spans="1:10" x14ac:dyDescent="0.2">
      <c r="A22" t="s">
        <v>88</v>
      </c>
      <c r="B22" t="s">
        <v>82</v>
      </c>
      <c r="C22" t="s">
        <v>106</v>
      </c>
      <c r="D22" t="s">
        <v>107</v>
      </c>
      <c r="E22">
        <v>142.97</v>
      </c>
      <c r="F22">
        <f>'M9 + glucose'!F22*(1.6227/0.6227)</f>
        <v>0</v>
      </c>
      <c r="G22">
        <f t="shared" si="0"/>
        <v>0</v>
      </c>
      <c r="H22">
        <v>-1000</v>
      </c>
      <c r="I22">
        <f>G22/'GEM Default'!G22</f>
        <v>0</v>
      </c>
      <c r="J22">
        <f t="shared" si="1"/>
        <v>0</v>
      </c>
    </row>
    <row r="23" spans="1:10" x14ac:dyDescent="0.2">
      <c r="A23" t="s">
        <v>92</v>
      </c>
      <c r="B23" t="s">
        <v>83</v>
      </c>
      <c r="C23" t="s">
        <v>108</v>
      </c>
      <c r="D23" t="s">
        <v>109</v>
      </c>
      <c r="E23">
        <v>126.97</v>
      </c>
      <c r="F23">
        <f>'M9 + glucose'!F23*(1.6227/0.6227)</f>
        <v>0</v>
      </c>
      <c r="G23">
        <f t="shared" si="0"/>
        <v>0</v>
      </c>
      <c r="H23">
        <v>-1000</v>
      </c>
      <c r="I23">
        <f>G23/'GEM Default'!G23</f>
        <v>0</v>
      </c>
      <c r="J23">
        <f t="shared" si="1"/>
        <v>0</v>
      </c>
    </row>
    <row r="24" spans="1:10" x14ac:dyDescent="0.2">
      <c r="A24" s="7" t="s">
        <v>21</v>
      </c>
      <c r="B24" t="s">
        <v>48</v>
      </c>
      <c r="C24" t="s">
        <v>51</v>
      </c>
      <c r="D24" t="s">
        <v>52</v>
      </c>
      <c r="E24">
        <v>96.06</v>
      </c>
      <c r="F24">
        <f>'M9 + glucose'!F24*(1.6227/0.6227)</f>
        <v>0.5006473807612013</v>
      </c>
      <c r="G24">
        <f t="shared" si="0"/>
        <v>5.21181949574434E-3</v>
      </c>
      <c r="H24">
        <v>-1000</v>
      </c>
      <c r="I24">
        <f>G24/'GEM Default'!G24</f>
        <v>5.21181949574434E-3</v>
      </c>
      <c r="J24">
        <f t="shared" si="1"/>
        <v>-5.21181949574434</v>
      </c>
    </row>
    <row r="25" spans="1:10" x14ac:dyDescent="0.2">
      <c r="A25" t="s">
        <v>93</v>
      </c>
      <c r="B25" t="s">
        <v>84</v>
      </c>
      <c r="C25" t="s">
        <v>110</v>
      </c>
      <c r="D25" t="s">
        <v>111</v>
      </c>
      <c r="E25">
        <v>247.8</v>
      </c>
      <c r="F25">
        <f>'M9 + glucose'!F25*(1.6227/0.6227)</f>
        <v>0</v>
      </c>
      <c r="G25">
        <f t="shared" si="0"/>
        <v>0</v>
      </c>
      <c r="H25">
        <v>-1000</v>
      </c>
      <c r="I25">
        <f>G25/'GEM Default'!G25</f>
        <v>0</v>
      </c>
      <c r="J25">
        <f t="shared" si="1"/>
        <v>0</v>
      </c>
    </row>
    <row r="26" spans="1:10" x14ac:dyDescent="0.2">
      <c r="A26" s="4" t="s">
        <v>37</v>
      </c>
      <c r="B26" t="s">
        <v>38</v>
      </c>
      <c r="C26" t="s">
        <v>74</v>
      </c>
      <c r="D26" t="s">
        <v>75</v>
      </c>
      <c r="E26">
        <v>65.38</v>
      </c>
      <c r="F26">
        <f>'M9 + glucose'!F26*(1.6227/0.6227)</f>
        <v>1.7037437931588246E-4</v>
      </c>
      <c r="G26" s="5">
        <f t="shared" si="0"/>
        <v>2.6059097478721701E-6</v>
      </c>
      <c r="H26">
        <v>-1000</v>
      </c>
      <c r="I26">
        <f>G26/'GEM Default'!G26</f>
        <v>2.6059097478721701E-6</v>
      </c>
      <c r="J26">
        <f t="shared" si="1"/>
        <v>-2.60590974787217E-3</v>
      </c>
    </row>
    <row r="27" spans="1:10" x14ac:dyDescent="0.2">
      <c r="A27" t="s">
        <v>122</v>
      </c>
      <c r="B27" t="s">
        <v>273</v>
      </c>
      <c r="C27" t="s">
        <v>196</v>
      </c>
      <c r="D27" t="s">
        <v>197</v>
      </c>
      <c r="E27">
        <v>89.1</v>
      </c>
      <c r="F27">
        <v>0.1</v>
      </c>
      <c r="G27">
        <f>F27/E27</f>
        <v>1.1223344556677891E-3</v>
      </c>
      <c r="H27">
        <v>-1000</v>
      </c>
      <c r="I27">
        <v>10</v>
      </c>
      <c r="J27">
        <f>G27*H27*I27</f>
        <v>-11.22334455667789</v>
      </c>
    </row>
    <row r="28" spans="1:10" x14ac:dyDescent="0.2">
      <c r="A28" t="s">
        <v>123</v>
      </c>
      <c r="B28" t="s">
        <v>273</v>
      </c>
      <c r="C28" t="s">
        <v>198</v>
      </c>
      <c r="D28" s="1" t="s">
        <v>199</v>
      </c>
      <c r="E28">
        <v>89.1</v>
      </c>
      <c r="F28">
        <v>0.1</v>
      </c>
      <c r="G28">
        <f t="shared" ref="G28:G56" si="2">F28/E28</f>
        <v>1.1223344556677891E-3</v>
      </c>
      <c r="H28">
        <v>-1000</v>
      </c>
      <c r="I28">
        <v>10</v>
      </c>
      <c r="J28">
        <f t="shared" ref="J28:J56" si="3">G28*H28*I28</f>
        <v>-11.22334455667789</v>
      </c>
    </row>
    <row r="29" spans="1:10" x14ac:dyDescent="0.2">
      <c r="A29" t="s">
        <v>124</v>
      </c>
      <c r="B29" t="s">
        <v>287</v>
      </c>
      <c r="C29" t="s">
        <v>200</v>
      </c>
      <c r="D29" t="s">
        <v>201</v>
      </c>
      <c r="E29" s="1">
        <v>174.2</v>
      </c>
      <c r="F29">
        <v>2.1999999999999999E-2</v>
      </c>
      <c r="G29">
        <f t="shared" si="2"/>
        <v>1.2629161882893227E-4</v>
      </c>
      <c r="H29">
        <v>-1000</v>
      </c>
      <c r="I29">
        <v>10</v>
      </c>
      <c r="J29">
        <f t="shared" si="3"/>
        <v>-1.2629161882893227</v>
      </c>
    </row>
    <row r="30" spans="1:10" x14ac:dyDescent="0.2">
      <c r="A30" t="s">
        <v>162</v>
      </c>
      <c r="B30" t="s">
        <v>302</v>
      </c>
      <c r="C30" t="s">
        <v>202</v>
      </c>
      <c r="D30" t="s">
        <v>203</v>
      </c>
      <c r="E30">
        <v>132.1</v>
      </c>
      <c r="F30">
        <v>0.1</v>
      </c>
      <c r="G30">
        <f t="shared" si="2"/>
        <v>7.5700227100681313E-4</v>
      </c>
      <c r="H30">
        <v>-1000</v>
      </c>
      <c r="I30">
        <v>10</v>
      </c>
      <c r="J30">
        <f t="shared" si="3"/>
        <v>-7.5700227100681321</v>
      </c>
    </row>
    <row r="31" spans="1:10" x14ac:dyDescent="0.2">
      <c r="A31" t="s">
        <v>125</v>
      </c>
      <c r="B31" t="s">
        <v>284</v>
      </c>
      <c r="C31" t="s">
        <v>204</v>
      </c>
      <c r="D31" t="s">
        <v>205</v>
      </c>
      <c r="E31">
        <v>133.1</v>
      </c>
      <c r="F31">
        <v>0.1</v>
      </c>
      <c r="G31">
        <f t="shared" si="2"/>
        <v>7.513148009015778E-4</v>
      </c>
      <c r="H31">
        <v>-1000</v>
      </c>
      <c r="I31">
        <v>10</v>
      </c>
      <c r="J31">
        <f t="shared" si="3"/>
        <v>-7.5131480090157776</v>
      </c>
    </row>
    <row r="32" spans="1:10" x14ac:dyDescent="0.2">
      <c r="A32" t="s">
        <v>126</v>
      </c>
      <c r="B32" t="s">
        <v>301</v>
      </c>
      <c r="C32" t="s">
        <v>206</v>
      </c>
      <c r="D32" t="s">
        <v>207</v>
      </c>
      <c r="E32">
        <v>121.2</v>
      </c>
      <c r="F32">
        <v>0.01</v>
      </c>
      <c r="G32">
        <f t="shared" si="2"/>
        <v>8.2508250825082509E-5</v>
      </c>
      <c r="H32">
        <v>-1000</v>
      </c>
      <c r="I32">
        <v>10</v>
      </c>
      <c r="J32">
        <f t="shared" si="3"/>
        <v>-0.82508250825082508</v>
      </c>
    </row>
    <row r="33" spans="1:10" x14ac:dyDescent="0.2">
      <c r="A33" t="s">
        <v>127</v>
      </c>
      <c r="B33" t="s">
        <v>274</v>
      </c>
      <c r="C33" t="s">
        <v>208</v>
      </c>
      <c r="D33" t="s">
        <v>209</v>
      </c>
      <c r="E33">
        <v>75.099999999999994</v>
      </c>
      <c r="F33">
        <v>0.1</v>
      </c>
      <c r="G33">
        <f t="shared" si="2"/>
        <v>1.3315579227696406E-3</v>
      </c>
      <c r="H33">
        <v>-1000</v>
      </c>
      <c r="I33">
        <v>10</v>
      </c>
      <c r="J33">
        <f t="shared" si="3"/>
        <v>-13.315579227696405</v>
      </c>
    </row>
    <row r="34" spans="1:10" x14ac:dyDescent="0.2">
      <c r="A34" t="s">
        <v>128</v>
      </c>
      <c r="B34" t="s">
        <v>285</v>
      </c>
      <c r="C34" t="s">
        <v>210</v>
      </c>
      <c r="D34" t="s">
        <v>211</v>
      </c>
      <c r="E34">
        <v>147.1</v>
      </c>
      <c r="F34">
        <v>0.1</v>
      </c>
      <c r="G34">
        <f t="shared" si="2"/>
        <v>6.7980965329707689E-4</v>
      </c>
      <c r="H34">
        <v>-1000</v>
      </c>
      <c r="I34">
        <v>10</v>
      </c>
      <c r="J34">
        <f t="shared" si="3"/>
        <v>-6.798096532970769</v>
      </c>
    </row>
    <row r="35" spans="1:10" x14ac:dyDescent="0.2">
      <c r="A35" t="s">
        <v>129</v>
      </c>
      <c r="B35" t="s">
        <v>286</v>
      </c>
      <c r="C35" t="s">
        <v>212</v>
      </c>
      <c r="D35" t="s">
        <v>213</v>
      </c>
      <c r="E35">
        <v>146.19999999999999</v>
      </c>
      <c r="F35">
        <v>0.1</v>
      </c>
      <c r="G35">
        <f t="shared" si="2"/>
        <v>6.8399452804377575E-4</v>
      </c>
      <c r="H35">
        <v>-1000</v>
      </c>
      <c r="I35">
        <v>10</v>
      </c>
      <c r="J35">
        <f t="shared" si="3"/>
        <v>-6.8399452804377567</v>
      </c>
    </row>
    <row r="36" spans="1:10" x14ac:dyDescent="0.2">
      <c r="A36" t="s">
        <v>130</v>
      </c>
      <c r="B36" t="s">
        <v>288</v>
      </c>
      <c r="C36" t="s">
        <v>214</v>
      </c>
      <c r="D36" t="s">
        <v>215</v>
      </c>
      <c r="E36">
        <v>155.19999999999999</v>
      </c>
      <c r="F36">
        <v>2.1999999999999999E-2</v>
      </c>
      <c r="G36">
        <f t="shared" si="2"/>
        <v>1.4175257731958762E-4</v>
      </c>
      <c r="H36">
        <v>-1000</v>
      </c>
      <c r="I36">
        <v>10</v>
      </c>
      <c r="J36">
        <f t="shared" si="3"/>
        <v>-1.4175257731958761</v>
      </c>
    </row>
    <row r="37" spans="1:10" x14ac:dyDescent="0.2">
      <c r="A37" t="s">
        <v>131</v>
      </c>
      <c r="B37" t="s">
        <v>277</v>
      </c>
      <c r="C37" t="s">
        <v>216</v>
      </c>
      <c r="D37" t="s">
        <v>217</v>
      </c>
      <c r="E37">
        <v>131.19999999999999</v>
      </c>
      <c r="F37">
        <v>0.02</v>
      </c>
      <c r="G37">
        <f t="shared" si="2"/>
        <v>1.5243902439024393E-4</v>
      </c>
      <c r="H37">
        <v>-1000</v>
      </c>
      <c r="I37">
        <v>10</v>
      </c>
      <c r="J37">
        <f t="shared" si="3"/>
        <v>-1.5243902439024393</v>
      </c>
    </row>
    <row r="38" spans="1:10" x14ac:dyDescent="0.2">
      <c r="A38" t="s">
        <v>132</v>
      </c>
      <c r="B38" t="s">
        <v>276</v>
      </c>
      <c r="C38" t="s">
        <v>218</v>
      </c>
      <c r="D38" t="s">
        <v>219</v>
      </c>
      <c r="E38">
        <v>131.19999999999999</v>
      </c>
      <c r="F38">
        <v>0.02</v>
      </c>
      <c r="G38">
        <f t="shared" si="2"/>
        <v>1.5243902439024393E-4</v>
      </c>
      <c r="H38">
        <v>-1000</v>
      </c>
      <c r="I38">
        <v>10</v>
      </c>
      <c r="J38">
        <f t="shared" si="3"/>
        <v>-1.5243902439024393</v>
      </c>
    </row>
    <row r="39" spans="1:10" x14ac:dyDescent="0.2">
      <c r="A39" t="s">
        <v>133</v>
      </c>
      <c r="B39" t="s">
        <v>289</v>
      </c>
      <c r="C39" t="s">
        <v>220</v>
      </c>
      <c r="D39" t="s">
        <v>221</v>
      </c>
      <c r="E39">
        <v>146.19999999999999</v>
      </c>
      <c r="F39">
        <v>8.7999999999999995E-2</v>
      </c>
      <c r="G39">
        <f t="shared" si="2"/>
        <v>6.0191518467852254E-4</v>
      </c>
      <c r="H39">
        <v>-1000</v>
      </c>
      <c r="I39">
        <v>10</v>
      </c>
      <c r="J39">
        <f t="shared" si="3"/>
        <v>-6.0191518467852259</v>
      </c>
    </row>
    <row r="40" spans="1:10" x14ac:dyDescent="0.2">
      <c r="A40" t="s">
        <v>134</v>
      </c>
      <c r="B40" t="s">
        <v>300</v>
      </c>
      <c r="C40" t="s">
        <v>222</v>
      </c>
      <c r="D40" t="s">
        <v>223</v>
      </c>
      <c r="E40">
        <v>149.19999999999999</v>
      </c>
      <c r="F40">
        <v>0.02</v>
      </c>
      <c r="G40">
        <f t="shared" si="2"/>
        <v>1.3404825737265417E-4</v>
      </c>
      <c r="H40">
        <v>-1000</v>
      </c>
      <c r="I40">
        <v>10</v>
      </c>
      <c r="J40">
        <f t="shared" si="3"/>
        <v>-1.3404825737265416</v>
      </c>
    </row>
    <row r="41" spans="1:10" x14ac:dyDescent="0.2">
      <c r="A41" t="s">
        <v>135</v>
      </c>
      <c r="B41" t="s">
        <v>281</v>
      </c>
      <c r="C41" t="s">
        <v>224</v>
      </c>
      <c r="D41" s="1" t="s">
        <v>225</v>
      </c>
      <c r="E41">
        <v>165.2</v>
      </c>
      <c r="F41">
        <v>0.02</v>
      </c>
      <c r="G41">
        <f t="shared" si="2"/>
        <v>1.2106537530266345E-4</v>
      </c>
      <c r="H41">
        <v>-1000</v>
      </c>
      <c r="I41">
        <v>10</v>
      </c>
      <c r="J41">
        <f t="shared" si="3"/>
        <v>-1.2106537530266346</v>
      </c>
    </row>
    <row r="42" spans="1:10" x14ac:dyDescent="0.2">
      <c r="A42" t="s">
        <v>136</v>
      </c>
      <c r="B42" t="s">
        <v>280</v>
      </c>
      <c r="C42" t="s">
        <v>226</v>
      </c>
      <c r="D42" t="s">
        <v>227</v>
      </c>
      <c r="E42">
        <v>115.1</v>
      </c>
      <c r="F42">
        <v>0.03</v>
      </c>
      <c r="G42">
        <f t="shared" si="2"/>
        <v>2.6064291920069505E-4</v>
      </c>
      <c r="H42">
        <v>-1000</v>
      </c>
      <c r="I42">
        <v>10</v>
      </c>
      <c r="J42">
        <f t="shared" si="3"/>
        <v>-2.6064291920069502</v>
      </c>
    </row>
    <row r="43" spans="1:10" x14ac:dyDescent="0.2">
      <c r="A43" t="s">
        <v>137</v>
      </c>
      <c r="B43" t="s">
        <v>278</v>
      </c>
      <c r="C43" t="s">
        <v>228</v>
      </c>
      <c r="D43" t="s">
        <v>229</v>
      </c>
      <c r="E43">
        <v>105.1</v>
      </c>
      <c r="F43">
        <v>0.1</v>
      </c>
      <c r="G43">
        <f t="shared" si="2"/>
        <v>9.5147478591817332E-4</v>
      </c>
      <c r="H43">
        <v>-1000</v>
      </c>
      <c r="I43">
        <v>10</v>
      </c>
      <c r="J43">
        <f t="shared" si="3"/>
        <v>-9.5147478591817336</v>
      </c>
    </row>
    <row r="44" spans="1:10" x14ac:dyDescent="0.2">
      <c r="A44" t="s">
        <v>138</v>
      </c>
      <c r="B44" t="s">
        <v>279</v>
      </c>
      <c r="C44" t="s">
        <v>230</v>
      </c>
      <c r="D44" t="s">
        <v>231</v>
      </c>
      <c r="E44">
        <v>119.1</v>
      </c>
      <c r="F44">
        <v>0.08</v>
      </c>
      <c r="G44">
        <f t="shared" si="2"/>
        <v>6.7170445004198162E-4</v>
      </c>
      <c r="H44">
        <v>-1000</v>
      </c>
      <c r="I44">
        <v>10</v>
      </c>
      <c r="J44">
        <f t="shared" si="3"/>
        <v>-6.7170445004198163</v>
      </c>
    </row>
    <row r="45" spans="1:10" x14ac:dyDescent="0.2">
      <c r="A45" t="s">
        <v>139</v>
      </c>
      <c r="B45" t="s">
        <v>282</v>
      </c>
      <c r="C45" t="s">
        <v>232</v>
      </c>
      <c r="D45" t="s">
        <v>233</v>
      </c>
      <c r="E45">
        <v>204.2</v>
      </c>
      <c r="F45">
        <v>0.02</v>
      </c>
      <c r="G45">
        <f t="shared" si="2"/>
        <v>9.7943192948090116E-5</v>
      </c>
      <c r="H45">
        <v>-1000</v>
      </c>
      <c r="I45">
        <v>10</v>
      </c>
      <c r="J45">
        <f t="shared" si="3"/>
        <v>-0.97943192948090119</v>
      </c>
    </row>
    <row r="46" spans="1:10" x14ac:dyDescent="0.2">
      <c r="A46" t="s">
        <v>140</v>
      </c>
      <c r="B46" t="s">
        <v>283</v>
      </c>
      <c r="C46" t="s">
        <v>234</v>
      </c>
      <c r="D46" t="s">
        <v>235</v>
      </c>
      <c r="E46">
        <v>181.2</v>
      </c>
      <c r="F46">
        <v>0.02</v>
      </c>
      <c r="G46">
        <f t="shared" si="2"/>
        <v>1.1037527593818986E-4</v>
      </c>
      <c r="H46">
        <v>-1000</v>
      </c>
      <c r="I46">
        <v>10</v>
      </c>
      <c r="J46">
        <f t="shared" si="3"/>
        <v>-1.1037527593818985</v>
      </c>
    </row>
    <row r="47" spans="1:10" x14ac:dyDescent="0.2">
      <c r="A47" t="s">
        <v>141</v>
      </c>
      <c r="B47" t="s">
        <v>275</v>
      </c>
      <c r="C47" t="s">
        <v>236</v>
      </c>
      <c r="D47" t="s">
        <v>237</v>
      </c>
      <c r="E47">
        <v>117.1</v>
      </c>
      <c r="F47">
        <v>0.04</v>
      </c>
      <c r="G47">
        <f t="shared" si="2"/>
        <v>3.4158838599487618E-4</v>
      </c>
      <c r="H47">
        <v>-1000</v>
      </c>
      <c r="I47">
        <v>10</v>
      </c>
      <c r="J47">
        <f t="shared" si="3"/>
        <v>-3.415883859948762</v>
      </c>
    </row>
    <row r="48" spans="1:10" x14ac:dyDescent="0.2">
      <c r="A48" t="s">
        <v>142</v>
      </c>
      <c r="B48" t="s">
        <v>273</v>
      </c>
      <c r="C48" t="s">
        <v>238</v>
      </c>
      <c r="D48" t="s">
        <v>239</v>
      </c>
      <c r="E48">
        <v>135.13</v>
      </c>
      <c r="F48">
        <v>0.04</v>
      </c>
      <c r="G48">
        <f t="shared" si="2"/>
        <v>2.9601124842744024E-4</v>
      </c>
      <c r="H48">
        <v>-1000</v>
      </c>
      <c r="I48">
        <v>10</v>
      </c>
      <c r="J48">
        <f t="shared" si="3"/>
        <v>-2.9601124842744024</v>
      </c>
    </row>
    <row r="49" spans="1:10" x14ac:dyDescent="0.2">
      <c r="A49" t="s">
        <v>143</v>
      </c>
      <c r="B49" t="s">
        <v>279</v>
      </c>
      <c r="C49" t="s">
        <v>240</v>
      </c>
      <c r="D49" t="s">
        <v>241</v>
      </c>
      <c r="E49">
        <v>242.2286</v>
      </c>
      <c r="F49">
        <v>5.0000000000000001E-3</v>
      </c>
      <c r="G49">
        <f t="shared" si="2"/>
        <v>2.0641658334317254E-5</v>
      </c>
      <c r="H49">
        <v>-1000</v>
      </c>
      <c r="I49">
        <v>10</v>
      </c>
      <c r="J49">
        <f t="shared" si="3"/>
        <v>-0.20641658334317253</v>
      </c>
    </row>
    <row r="50" spans="1:10" x14ac:dyDescent="0.2">
      <c r="A50" t="s">
        <v>144</v>
      </c>
      <c r="B50" t="s">
        <v>322</v>
      </c>
      <c r="C50" t="s">
        <v>242</v>
      </c>
      <c r="D50" t="s">
        <v>243</v>
      </c>
      <c r="E50">
        <v>112.0868</v>
      </c>
      <c r="F50">
        <v>0.04</v>
      </c>
      <c r="G50">
        <f t="shared" si="2"/>
        <v>3.5686628577138432E-4</v>
      </c>
      <c r="H50">
        <v>-1000</v>
      </c>
      <c r="I50">
        <v>10</v>
      </c>
      <c r="J50">
        <f t="shared" si="3"/>
        <v>-3.5686628577138428</v>
      </c>
    </row>
    <row r="51" spans="1:10" x14ac:dyDescent="0.2">
      <c r="A51" t="s">
        <v>145</v>
      </c>
      <c r="B51" t="s">
        <v>274</v>
      </c>
      <c r="C51" t="s">
        <v>244</v>
      </c>
      <c r="D51" t="s">
        <v>245</v>
      </c>
      <c r="E51">
        <v>283.24099999999999</v>
      </c>
      <c r="F51">
        <v>0.04</v>
      </c>
      <c r="G51">
        <f t="shared" si="2"/>
        <v>1.412224925063815E-4</v>
      </c>
      <c r="H51">
        <v>-1000</v>
      </c>
      <c r="I51">
        <v>10</v>
      </c>
      <c r="J51">
        <f t="shared" si="3"/>
        <v>-1.412224925063815</v>
      </c>
    </row>
    <row r="52" spans="1:10" x14ac:dyDescent="0.2">
      <c r="A52" t="s">
        <v>146</v>
      </c>
      <c r="B52" t="s">
        <v>294</v>
      </c>
      <c r="C52" t="s">
        <v>246</v>
      </c>
      <c r="D52" t="s">
        <v>247</v>
      </c>
      <c r="E52">
        <v>244.31</v>
      </c>
      <c r="F52">
        <v>5.0000000000000001E-4</v>
      </c>
      <c r="G52">
        <f t="shared" si="2"/>
        <v>2.0465801645450454E-6</v>
      </c>
      <c r="H52">
        <v>-1000</v>
      </c>
      <c r="I52">
        <v>10</v>
      </c>
      <c r="J52">
        <f t="shared" si="3"/>
        <v>-2.0465801645450452E-2</v>
      </c>
    </row>
    <row r="53" spans="1:10" x14ac:dyDescent="0.2">
      <c r="A53" t="s">
        <v>148</v>
      </c>
      <c r="B53" t="s">
        <v>323</v>
      </c>
      <c r="C53" t="s">
        <v>248</v>
      </c>
      <c r="D53" t="s">
        <v>249</v>
      </c>
      <c r="E53">
        <v>219.23</v>
      </c>
      <c r="F53">
        <v>1E-3</v>
      </c>
      <c r="G53">
        <f t="shared" si="2"/>
        <v>4.5614195137526803E-6</v>
      </c>
      <c r="H53">
        <v>-1000</v>
      </c>
      <c r="I53">
        <v>10</v>
      </c>
      <c r="J53">
        <f t="shared" si="3"/>
        <v>-4.5614195137526799E-2</v>
      </c>
    </row>
    <row r="54" spans="1:10" x14ac:dyDescent="0.2">
      <c r="A54" t="s">
        <v>149</v>
      </c>
      <c r="B54" t="s">
        <v>297</v>
      </c>
      <c r="C54" t="s">
        <v>250</v>
      </c>
      <c r="D54" t="s">
        <v>251</v>
      </c>
      <c r="E54">
        <v>169.18</v>
      </c>
      <c r="F54">
        <v>1E-3</v>
      </c>
      <c r="G54">
        <f t="shared" si="2"/>
        <v>5.9108641683414111E-6</v>
      </c>
      <c r="H54">
        <v>-1000</v>
      </c>
      <c r="I54">
        <v>10</v>
      </c>
      <c r="J54">
        <f t="shared" si="3"/>
        <v>-5.9108641683414113E-2</v>
      </c>
    </row>
    <row r="55" spans="1:10" x14ac:dyDescent="0.2">
      <c r="A55" t="s">
        <v>195</v>
      </c>
      <c r="B55" t="s">
        <v>298</v>
      </c>
      <c r="C55" t="s">
        <v>252</v>
      </c>
      <c r="D55" t="s">
        <v>253</v>
      </c>
      <c r="E55">
        <v>265.35500000000002</v>
      </c>
      <c r="F55">
        <v>1E-3</v>
      </c>
      <c r="G55">
        <f t="shared" si="2"/>
        <v>3.7685364888545531E-6</v>
      </c>
      <c r="H55">
        <v>-1000</v>
      </c>
      <c r="I55">
        <v>10</v>
      </c>
      <c r="J55">
        <f t="shared" si="3"/>
        <v>-3.7685364888545528E-2</v>
      </c>
    </row>
    <row r="56" spans="1:10" x14ac:dyDescent="0.2">
      <c r="A56" t="s">
        <v>163</v>
      </c>
      <c r="B56" t="s">
        <v>324</v>
      </c>
      <c r="C56" t="s">
        <v>96</v>
      </c>
      <c r="D56" s="1" t="s">
        <v>97</v>
      </c>
      <c r="E56">
        <v>1355.365</v>
      </c>
      <c r="F56">
        <v>0.01</v>
      </c>
      <c r="G56">
        <f t="shared" si="2"/>
        <v>7.3780863457445043E-6</v>
      </c>
      <c r="H56">
        <v>-1000</v>
      </c>
      <c r="I56">
        <v>10</v>
      </c>
      <c r="J56">
        <f t="shared" si="3"/>
        <v>-7.3780863457445042E-2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10" workbookViewId="0">
      <selection activeCell="A10" sqref="A10:B29"/>
    </sheetView>
  </sheetViews>
  <sheetFormatPr defaultRowHeight="14.25" x14ac:dyDescent="0.2"/>
  <cols>
    <col min="1" max="1" width="9.5" bestFit="1" customWidth="1"/>
    <col min="2" max="2" width="18.625" bestFit="1" customWidth="1"/>
    <col min="3" max="3" width="14" bestFit="1" customWidth="1"/>
  </cols>
  <sheetData>
    <row r="1" spans="1:4" s="2" customFormat="1" ht="15" x14ac:dyDescent="0.25">
      <c r="A1" s="2" t="s">
        <v>262</v>
      </c>
      <c r="B1" s="2" t="s">
        <v>263</v>
      </c>
      <c r="C1" s="2" t="s">
        <v>267</v>
      </c>
      <c r="D1" s="2" t="s">
        <v>320</v>
      </c>
    </row>
    <row r="2" spans="1:4" x14ac:dyDescent="0.2">
      <c r="A2" t="s">
        <v>264</v>
      </c>
      <c r="B2" t="s">
        <v>264</v>
      </c>
      <c r="C2" t="s">
        <v>309</v>
      </c>
      <c r="D2">
        <v>1</v>
      </c>
    </row>
    <row r="3" spans="1:4" x14ac:dyDescent="0.2">
      <c r="A3" t="s">
        <v>265</v>
      </c>
      <c r="B3" t="s">
        <v>321</v>
      </c>
      <c r="C3" t="s">
        <v>310</v>
      </c>
      <c r="D3">
        <v>1</v>
      </c>
    </row>
    <row r="4" spans="1:4" x14ac:dyDescent="0.2">
      <c r="A4" t="s">
        <v>266</v>
      </c>
      <c r="B4" t="s">
        <v>266</v>
      </c>
      <c r="C4" t="s">
        <v>312</v>
      </c>
      <c r="D4">
        <v>1</v>
      </c>
    </row>
    <row r="5" spans="1:4" x14ac:dyDescent="0.2">
      <c r="A5" t="s">
        <v>268</v>
      </c>
      <c r="B5" t="s">
        <v>268</v>
      </c>
      <c r="C5" t="s">
        <v>313</v>
      </c>
      <c r="D5">
        <v>1</v>
      </c>
    </row>
    <row r="6" spans="1:4" x14ac:dyDescent="0.2">
      <c r="A6" t="s">
        <v>269</v>
      </c>
      <c r="B6" t="s">
        <v>269</v>
      </c>
      <c r="C6" t="s">
        <v>314</v>
      </c>
      <c r="D6">
        <v>1</v>
      </c>
    </row>
    <row r="7" spans="1:4" x14ac:dyDescent="0.2">
      <c r="A7" t="s">
        <v>270</v>
      </c>
      <c r="B7" t="s">
        <v>303</v>
      </c>
      <c r="C7" t="s">
        <v>315</v>
      </c>
      <c r="D7">
        <v>1</v>
      </c>
    </row>
    <row r="8" spans="1:4" x14ac:dyDescent="0.2">
      <c r="A8" t="s">
        <v>271</v>
      </c>
      <c r="B8" t="s">
        <v>304</v>
      </c>
      <c r="C8" t="s">
        <v>316</v>
      </c>
      <c r="D8">
        <v>1</v>
      </c>
    </row>
    <row r="9" spans="1:4" x14ac:dyDescent="0.2">
      <c r="A9" t="s">
        <v>272</v>
      </c>
      <c r="B9" t="s">
        <v>305</v>
      </c>
      <c r="C9" t="s">
        <v>317</v>
      </c>
      <c r="D9">
        <v>1</v>
      </c>
    </row>
    <row r="10" spans="1:4" x14ac:dyDescent="0.2">
      <c r="A10" t="s">
        <v>273</v>
      </c>
      <c r="B10" t="s">
        <v>306</v>
      </c>
      <c r="C10" t="s">
        <v>311</v>
      </c>
      <c r="D10">
        <v>1</v>
      </c>
    </row>
    <row r="11" spans="1:4" x14ac:dyDescent="0.2">
      <c r="A11" t="s">
        <v>274</v>
      </c>
      <c r="B11" t="s">
        <v>127</v>
      </c>
      <c r="C11" t="s">
        <v>311</v>
      </c>
      <c r="D11">
        <v>1</v>
      </c>
    </row>
    <row r="12" spans="1:4" x14ac:dyDescent="0.2">
      <c r="A12" t="s">
        <v>275</v>
      </c>
      <c r="B12" t="s">
        <v>141</v>
      </c>
      <c r="C12" t="s">
        <v>311</v>
      </c>
      <c r="D12">
        <v>1</v>
      </c>
    </row>
    <row r="13" spans="1:4" x14ac:dyDescent="0.2">
      <c r="A13" t="s">
        <v>276</v>
      </c>
      <c r="B13" t="s">
        <v>132</v>
      </c>
      <c r="C13" t="s">
        <v>311</v>
      </c>
      <c r="D13">
        <v>1</v>
      </c>
    </row>
    <row r="14" spans="1:4" x14ac:dyDescent="0.2">
      <c r="A14" t="s">
        <v>277</v>
      </c>
      <c r="B14" t="s">
        <v>131</v>
      </c>
      <c r="C14" t="s">
        <v>311</v>
      </c>
      <c r="D14">
        <v>1</v>
      </c>
    </row>
    <row r="15" spans="1:4" x14ac:dyDescent="0.2">
      <c r="A15" t="s">
        <v>278</v>
      </c>
      <c r="B15" t="s">
        <v>137</v>
      </c>
      <c r="C15" t="s">
        <v>311</v>
      </c>
      <c r="D15">
        <v>1</v>
      </c>
    </row>
    <row r="16" spans="1:4" x14ac:dyDescent="0.2">
      <c r="A16" t="s">
        <v>279</v>
      </c>
      <c r="B16" t="s">
        <v>138</v>
      </c>
      <c r="C16" t="s">
        <v>311</v>
      </c>
      <c r="D16">
        <v>1</v>
      </c>
    </row>
    <row r="17" spans="1:4" x14ac:dyDescent="0.2">
      <c r="A17" t="s">
        <v>300</v>
      </c>
      <c r="B17" t="s">
        <v>134</v>
      </c>
      <c r="C17" t="s">
        <v>311</v>
      </c>
      <c r="D17">
        <v>1</v>
      </c>
    </row>
    <row r="18" spans="1:4" x14ac:dyDescent="0.2">
      <c r="A18" t="s">
        <v>301</v>
      </c>
      <c r="B18" t="s">
        <v>126</v>
      </c>
      <c r="C18" t="s">
        <v>311</v>
      </c>
      <c r="D18">
        <v>1</v>
      </c>
    </row>
    <row r="19" spans="1:4" x14ac:dyDescent="0.2">
      <c r="A19" t="s">
        <v>280</v>
      </c>
      <c r="B19" t="s">
        <v>136</v>
      </c>
      <c r="C19" t="s">
        <v>311</v>
      </c>
      <c r="D19">
        <v>1</v>
      </c>
    </row>
    <row r="20" spans="1:4" x14ac:dyDescent="0.2">
      <c r="A20" t="s">
        <v>281</v>
      </c>
      <c r="B20" t="s">
        <v>135</v>
      </c>
      <c r="C20" t="s">
        <v>311</v>
      </c>
      <c r="D20">
        <v>1</v>
      </c>
    </row>
    <row r="21" spans="1:4" x14ac:dyDescent="0.2">
      <c r="A21" t="s">
        <v>282</v>
      </c>
      <c r="B21" t="s">
        <v>139</v>
      </c>
      <c r="C21" t="s">
        <v>311</v>
      </c>
      <c r="D21">
        <v>1</v>
      </c>
    </row>
    <row r="22" spans="1:4" x14ac:dyDescent="0.2">
      <c r="A22" t="s">
        <v>283</v>
      </c>
      <c r="B22" t="s">
        <v>140</v>
      </c>
      <c r="C22" t="s">
        <v>311</v>
      </c>
      <c r="D22">
        <v>1</v>
      </c>
    </row>
    <row r="23" spans="1:4" x14ac:dyDescent="0.2">
      <c r="A23" t="s">
        <v>284</v>
      </c>
      <c r="B23" t="s">
        <v>125</v>
      </c>
      <c r="C23" t="s">
        <v>311</v>
      </c>
      <c r="D23">
        <v>1</v>
      </c>
    </row>
    <row r="24" spans="1:4" x14ac:dyDescent="0.2">
      <c r="A24" t="s">
        <v>285</v>
      </c>
      <c r="B24" t="s">
        <v>128</v>
      </c>
      <c r="C24" t="s">
        <v>311</v>
      </c>
      <c r="D24">
        <v>1</v>
      </c>
    </row>
    <row r="25" spans="1:4" x14ac:dyDescent="0.2">
      <c r="A25" t="s">
        <v>302</v>
      </c>
      <c r="B25" t="s">
        <v>162</v>
      </c>
      <c r="C25" t="s">
        <v>311</v>
      </c>
      <c r="D25">
        <v>1</v>
      </c>
    </row>
    <row r="26" spans="1:4" x14ac:dyDescent="0.2">
      <c r="A26" t="s">
        <v>286</v>
      </c>
      <c r="B26" t="s">
        <v>129</v>
      </c>
      <c r="C26" t="s">
        <v>311</v>
      </c>
      <c r="D26">
        <v>1</v>
      </c>
    </row>
    <row r="27" spans="1:4" x14ac:dyDescent="0.2">
      <c r="A27" t="s">
        <v>287</v>
      </c>
      <c r="B27" t="s">
        <v>124</v>
      </c>
      <c r="C27" t="s">
        <v>311</v>
      </c>
      <c r="D27">
        <v>1</v>
      </c>
    </row>
    <row r="28" spans="1:4" x14ac:dyDescent="0.2">
      <c r="A28" t="s">
        <v>288</v>
      </c>
      <c r="B28" t="s">
        <v>130</v>
      </c>
      <c r="C28" t="s">
        <v>311</v>
      </c>
      <c r="D28">
        <v>1</v>
      </c>
    </row>
    <row r="29" spans="1:4" x14ac:dyDescent="0.2">
      <c r="A29" t="s">
        <v>289</v>
      </c>
      <c r="B29" t="s">
        <v>133</v>
      </c>
      <c r="C29" t="s">
        <v>311</v>
      </c>
      <c r="D29">
        <v>1</v>
      </c>
    </row>
    <row r="30" spans="1:4" x14ac:dyDescent="0.2">
      <c r="A30" t="s">
        <v>290</v>
      </c>
      <c r="B30" t="s">
        <v>142</v>
      </c>
      <c r="C30" t="s">
        <v>318</v>
      </c>
      <c r="D30">
        <v>1</v>
      </c>
    </row>
    <row r="31" spans="1:4" x14ac:dyDescent="0.2">
      <c r="A31" t="s">
        <v>291</v>
      </c>
      <c r="B31" t="s">
        <v>307</v>
      </c>
      <c r="C31" t="s">
        <v>318</v>
      </c>
      <c r="D31">
        <v>1</v>
      </c>
    </row>
    <row r="32" spans="1:4" x14ac:dyDescent="0.2">
      <c r="A32" t="s">
        <v>292</v>
      </c>
      <c r="B32" t="s">
        <v>144</v>
      </c>
      <c r="C32" t="s">
        <v>318</v>
      </c>
      <c r="D32">
        <v>1</v>
      </c>
    </row>
    <row r="33" spans="1:4" x14ac:dyDescent="0.2">
      <c r="A33" t="s">
        <v>293</v>
      </c>
      <c r="B33" t="s">
        <v>308</v>
      </c>
      <c r="C33" t="s">
        <v>318</v>
      </c>
      <c r="D33">
        <v>1</v>
      </c>
    </row>
    <row r="34" spans="1:4" x14ac:dyDescent="0.2">
      <c r="A34" t="s">
        <v>294</v>
      </c>
      <c r="B34" t="s">
        <v>146</v>
      </c>
      <c r="C34" t="s">
        <v>319</v>
      </c>
      <c r="D34">
        <v>1</v>
      </c>
    </row>
    <row r="35" spans="1:4" x14ac:dyDescent="0.2">
      <c r="A35" t="s">
        <v>295</v>
      </c>
      <c r="B35" t="s">
        <v>147</v>
      </c>
      <c r="C35" t="s">
        <v>319</v>
      </c>
      <c r="D35">
        <v>0</v>
      </c>
    </row>
    <row r="36" spans="1:4" x14ac:dyDescent="0.2">
      <c r="A36" t="s">
        <v>296</v>
      </c>
      <c r="B36" t="s">
        <v>148</v>
      </c>
      <c r="C36" t="s">
        <v>319</v>
      </c>
      <c r="D36">
        <v>1</v>
      </c>
    </row>
    <row r="37" spans="1:4" x14ac:dyDescent="0.2">
      <c r="A37" t="s">
        <v>297</v>
      </c>
      <c r="B37" t="s">
        <v>149</v>
      </c>
      <c r="C37" t="s">
        <v>319</v>
      </c>
      <c r="D37">
        <v>1</v>
      </c>
    </row>
    <row r="38" spans="1:4" x14ac:dyDescent="0.2">
      <c r="A38" t="s">
        <v>298</v>
      </c>
      <c r="B38" t="s">
        <v>195</v>
      </c>
      <c r="C38" t="s">
        <v>319</v>
      </c>
      <c r="D38">
        <v>1</v>
      </c>
    </row>
    <row r="39" spans="1:4" x14ac:dyDescent="0.2">
      <c r="A39" t="s">
        <v>299</v>
      </c>
      <c r="B39" t="s">
        <v>150</v>
      </c>
      <c r="C39" t="s">
        <v>319</v>
      </c>
      <c r="D39">
        <v>0</v>
      </c>
    </row>
    <row r="40" spans="1:4" x14ac:dyDescent="0.2">
      <c r="A40" t="s">
        <v>151</v>
      </c>
      <c r="B40" t="s">
        <v>151</v>
      </c>
      <c r="C40" t="s">
        <v>319</v>
      </c>
      <c r="D40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11" sqref="I11"/>
    </sheetView>
  </sheetViews>
  <sheetFormatPr defaultRowHeight="14.25" x14ac:dyDescent="0.2"/>
  <cols>
    <col min="1" max="1" width="13.125" bestFit="1" customWidth="1"/>
    <col min="2" max="2" width="10.625" bestFit="1" customWidth="1"/>
    <col min="3" max="4" width="20.625" bestFit="1" customWidth="1"/>
    <col min="5" max="5" width="9.875" bestFit="1" customWidth="1"/>
    <col min="6" max="6" width="12.25" bestFit="1" customWidth="1"/>
    <col min="10" max="10" width="12.5" bestFit="1" customWidth="1"/>
  </cols>
  <sheetData>
    <row r="1" spans="1:10" s="2" customFormat="1" ht="15" x14ac:dyDescent="0.25">
      <c r="A1" s="2" t="s">
        <v>0</v>
      </c>
      <c r="B1" s="2" t="s">
        <v>16</v>
      </c>
      <c r="C1" s="2" t="s">
        <v>1</v>
      </c>
      <c r="D1" s="2" t="s">
        <v>2</v>
      </c>
      <c r="E1" s="2" t="s">
        <v>166</v>
      </c>
      <c r="F1" s="2" t="s">
        <v>7</v>
      </c>
      <c r="G1" s="2" t="s">
        <v>13</v>
      </c>
      <c r="H1" s="2" t="s">
        <v>4</v>
      </c>
      <c r="I1" s="2" t="s">
        <v>5</v>
      </c>
      <c r="J1" s="2" t="s">
        <v>6</v>
      </c>
    </row>
    <row r="2" spans="1:10" x14ac:dyDescent="0.2">
      <c r="A2" s="7" t="s">
        <v>85</v>
      </c>
      <c r="B2" t="s">
        <v>76</v>
      </c>
      <c r="C2" t="s">
        <v>94</v>
      </c>
      <c r="D2" t="s">
        <v>95</v>
      </c>
      <c r="E2">
        <v>40.078000000000003</v>
      </c>
      <c r="F2">
        <f>(0.1*E2)/1000</f>
        <v>4.0078000000000006E-3</v>
      </c>
      <c r="G2">
        <f>F2/E2</f>
        <v>1E-4</v>
      </c>
      <c r="H2">
        <v>-1000</v>
      </c>
      <c r="I2">
        <f>G2/'GEM Default'!G2</f>
        <v>1E-4</v>
      </c>
      <c r="J2">
        <f>H2*I2</f>
        <v>-0.1</v>
      </c>
    </row>
    <row r="3" spans="1:10" x14ac:dyDescent="0.2">
      <c r="A3" s="8" t="s">
        <v>79</v>
      </c>
      <c r="B3" t="s">
        <v>89</v>
      </c>
      <c r="C3" t="s">
        <v>96</v>
      </c>
      <c r="D3" s="1" t="s">
        <v>97</v>
      </c>
      <c r="E3" s="3">
        <v>1355.365</v>
      </c>
      <c r="F3" s="10">
        <f>1355.365/10000</f>
        <v>0.1355365</v>
      </c>
      <c r="G3" s="11">
        <f t="shared" ref="G3:G26" si="0">F3/E3</f>
        <v>1E-4</v>
      </c>
      <c r="H3">
        <v>-0.01</v>
      </c>
      <c r="I3">
        <f>G3/'GEM Default'!G3</f>
        <v>1E-4</v>
      </c>
      <c r="J3">
        <f t="shared" ref="J3:J26" si="1">H3*I3</f>
        <v>-1.0000000000000002E-6</v>
      </c>
    </row>
    <row r="4" spans="1:10" x14ac:dyDescent="0.2">
      <c r="A4" s="7" t="s">
        <v>11</v>
      </c>
      <c r="B4" t="s">
        <v>77</v>
      </c>
      <c r="C4" t="s">
        <v>98</v>
      </c>
      <c r="D4" t="s">
        <v>99</v>
      </c>
      <c r="E4">
        <v>35.453000000000003</v>
      </c>
      <c r="F4">
        <f>(0.5*E4)/58.443+(1*E4)/53.491+(0.1*2*E4)/1000+(0.01*3*E4)/1000</f>
        <v>0.97425121303589868</v>
      </c>
      <c r="G4">
        <f t="shared" si="0"/>
        <v>2.7480078217242507E-2</v>
      </c>
      <c r="H4">
        <v>-1000</v>
      </c>
      <c r="I4">
        <f>G4/'GEM Default'!G4</f>
        <v>2.7480078217242507E-2</v>
      </c>
      <c r="J4">
        <f t="shared" si="1"/>
        <v>-27.480078217242507</v>
      </c>
    </row>
    <row r="5" spans="1:10" x14ac:dyDescent="0.2">
      <c r="A5" s="8" t="s">
        <v>90</v>
      </c>
      <c r="B5" t="s">
        <v>18</v>
      </c>
      <c r="C5" t="s">
        <v>43</v>
      </c>
      <c r="D5" t="s">
        <v>44</v>
      </c>
      <c r="E5">
        <v>44.01</v>
      </c>
      <c r="F5" s="11">
        <v>44.01</v>
      </c>
      <c r="G5" s="11">
        <f t="shared" si="0"/>
        <v>1</v>
      </c>
      <c r="H5">
        <v>-1000</v>
      </c>
      <c r="I5">
        <f>G5/'GEM Default'!G5</f>
        <v>1</v>
      </c>
      <c r="J5">
        <f t="shared" si="1"/>
        <v>-1000</v>
      </c>
    </row>
    <row r="6" spans="1:10" x14ac:dyDescent="0.2">
      <c r="A6" s="4" t="s">
        <v>33</v>
      </c>
      <c r="B6" t="s">
        <v>34</v>
      </c>
      <c r="C6" t="s">
        <v>53</v>
      </c>
      <c r="D6" t="s">
        <v>54</v>
      </c>
      <c r="E6">
        <v>28.01</v>
      </c>
      <c r="F6">
        <f>(0.04*1000*E6)/(100*98.916)</f>
        <v>0.11326782320352623</v>
      </c>
      <c r="G6" s="9">
        <f t="shared" si="0"/>
        <v>4.043835173278337E-3</v>
      </c>
      <c r="H6">
        <v>-1000</v>
      </c>
      <c r="I6">
        <f>G6/'GEM Default'!G6</f>
        <v>4.043835173278337E-3</v>
      </c>
      <c r="J6">
        <f t="shared" si="1"/>
        <v>-4.0438351732783371</v>
      </c>
    </row>
    <row r="7" spans="1:10" x14ac:dyDescent="0.2">
      <c r="A7" s="4" t="s">
        <v>31</v>
      </c>
      <c r="B7" t="s">
        <v>32</v>
      </c>
      <c r="C7" t="s">
        <v>55</v>
      </c>
      <c r="D7" t="s">
        <v>56</v>
      </c>
      <c r="E7">
        <v>63.545999999999999</v>
      </c>
      <c r="F7">
        <f>(0.01*1000*E7)/(100*134.452)</f>
        <v>4.7262963734269477E-2</v>
      </c>
      <c r="G7" s="9">
        <f t="shared" si="0"/>
        <v>7.4375985481807633E-4</v>
      </c>
      <c r="H7">
        <v>-1000</v>
      </c>
      <c r="I7">
        <f>G7/'GEM Default'!G7</f>
        <v>7.4375985481807633E-4</v>
      </c>
      <c r="J7">
        <f t="shared" si="1"/>
        <v>-0.74375985481807638</v>
      </c>
    </row>
    <row r="8" spans="1:10" x14ac:dyDescent="0.2">
      <c r="A8" s="8" t="s">
        <v>28</v>
      </c>
      <c r="B8" t="s">
        <v>19</v>
      </c>
      <c r="C8" t="s">
        <v>59</v>
      </c>
      <c r="D8" t="s">
        <v>60</v>
      </c>
      <c r="E8">
        <v>55.844999999999999</v>
      </c>
      <c r="F8">
        <f>(0.8*1000*E8)/(100*151.9076)</f>
        <v>2.9409983437300045</v>
      </c>
      <c r="G8" s="9">
        <f>F8/E8</f>
        <v>5.2663592868296256E-2</v>
      </c>
      <c r="H8">
        <v>-1000</v>
      </c>
      <c r="I8">
        <f>G8/'GEM Default'!G8</f>
        <v>5.2663592868296256E-2</v>
      </c>
      <c r="J8">
        <f t="shared" si="1"/>
        <v>-52.663592868296256</v>
      </c>
    </row>
    <row r="9" spans="1:10" x14ac:dyDescent="0.2">
      <c r="A9" t="s">
        <v>29</v>
      </c>
      <c r="B9" t="s">
        <v>30</v>
      </c>
      <c r="C9" t="s">
        <v>61</v>
      </c>
      <c r="D9" t="s">
        <v>62</v>
      </c>
      <c r="E9">
        <v>55.844999999999999</v>
      </c>
      <c r="F9">
        <v>0</v>
      </c>
      <c r="G9">
        <f t="shared" si="0"/>
        <v>0</v>
      </c>
      <c r="H9">
        <v>-1000</v>
      </c>
      <c r="I9">
        <f>G9/'GEM Default'!G9</f>
        <v>0</v>
      </c>
      <c r="J9">
        <f t="shared" si="1"/>
        <v>0</v>
      </c>
    </row>
    <row r="10" spans="1:10" x14ac:dyDescent="0.2">
      <c r="A10" s="6" t="s">
        <v>80</v>
      </c>
      <c r="B10" t="s">
        <v>91</v>
      </c>
      <c r="C10" t="s">
        <v>100</v>
      </c>
      <c r="D10" t="s">
        <v>101</v>
      </c>
      <c r="E10">
        <v>180.15600000000001</v>
      </c>
      <c r="F10">
        <v>4</v>
      </c>
      <c r="G10">
        <f>F10/E10</f>
        <v>2.220297963986767E-2</v>
      </c>
      <c r="H10">
        <v>-10</v>
      </c>
      <c r="I10">
        <f>G10/'GEM Default'!G10</f>
        <v>2.2202979639867668</v>
      </c>
      <c r="J10">
        <f t="shared" si="1"/>
        <v>-22.202979639867667</v>
      </c>
    </row>
    <row r="11" spans="1:10" x14ac:dyDescent="0.2">
      <c r="A11" t="s">
        <v>8</v>
      </c>
      <c r="B11" t="s">
        <v>22</v>
      </c>
      <c r="C11" t="s">
        <v>57</v>
      </c>
      <c r="D11" t="s">
        <v>58</v>
      </c>
      <c r="E11">
        <v>1.0078400000000001</v>
      </c>
      <c r="F11">
        <f>(6*E11)/141.958822+(3*2*E11)/136.085542</f>
        <v>8.7032721388768053E-2</v>
      </c>
      <c r="G11">
        <f t="shared" si="0"/>
        <v>8.6355692757548869E-2</v>
      </c>
      <c r="H11">
        <v>-1000</v>
      </c>
      <c r="I11">
        <f>G11/'GEM Default'!G11</f>
        <v>8.6355692757548869E-2</v>
      </c>
      <c r="J11">
        <f t="shared" si="1"/>
        <v>-86.355692757548866</v>
      </c>
    </row>
    <row r="12" spans="1:10" x14ac:dyDescent="0.2">
      <c r="A12" s="8" t="s">
        <v>14</v>
      </c>
      <c r="B12" t="s">
        <v>17</v>
      </c>
      <c r="C12" t="s">
        <v>41</v>
      </c>
      <c r="D12" t="s">
        <v>42</v>
      </c>
      <c r="E12">
        <v>18.015280000000001</v>
      </c>
      <c r="F12" s="11">
        <v>18.015280000000001</v>
      </c>
      <c r="G12" s="11">
        <f t="shared" si="0"/>
        <v>1</v>
      </c>
      <c r="H12">
        <v>-1000</v>
      </c>
      <c r="I12">
        <f>G12/'GEM Default'!G12</f>
        <v>1</v>
      </c>
      <c r="J12">
        <f t="shared" si="1"/>
        <v>-1000</v>
      </c>
    </row>
    <row r="13" spans="1:10" x14ac:dyDescent="0.2">
      <c r="A13" s="7" t="s">
        <v>12</v>
      </c>
      <c r="B13" t="s">
        <v>26</v>
      </c>
      <c r="C13" t="s">
        <v>70</v>
      </c>
      <c r="D13" t="s">
        <v>71</v>
      </c>
      <c r="E13">
        <v>39.098300000000002</v>
      </c>
      <c r="F13">
        <f>(3*E13)/136.085542</f>
        <v>0.86192036476586187</v>
      </c>
      <c r="G13">
        <f t="shared" si="0"/>
        <v>2.2044957575287464E-2</v>
      </c>
      <c r="H13">
        <v>-1000</v>
      </c>
      <c r="I13">
        <f>G13/'GEM Default'!G13</f>
        <v>2.2044957575287464E-2</v>
      </c>
      <c r="J13">
        <f t="shared" si="1"/>
        <v>-22.044957575287462</v>
      </c>
    </row>
    <row r="14" spans="1:10" x14ac:dyDescent="0.2">
      <c r="A14" s="7" t="s">
        <v>27</v>
      </c>
      <c r="B14" t="s">
        <v>65</v>
      </c>
      <c r="C14" t="s">
        <v>63</v>
      </c>
      <c r="D14" t="s">
        <v>64</v>
      </c>
      <c r="E14">
        <v>24.305</v>
      </c>
      <c r="F14">
        <f>(2*E14)/1000</f>
        <v>4.861E-2</v>
      </c>
      <c r="G14">
        <f t="shared" si="0"/>
        <v>2E-3</v>
      </c>
      <c r="H14">
        <v>-1000</v>
      </c>
      <c r="I14">
        <f>G14/'GEM Default'!G14</f>
        <v>2E-3</v>
      </c>
      <c r="J14">
        <f t="shared" si="1"/>
        <v>-2</v>
      </c>
    </row>
    <row r="15" spans="1:10" x14ac:dyDescent="0.2">
      <c r="A15" s="4" t="s">
        <v>35</v>
      </c>
      <c r="B15" t="s">
        <v>36</v>
      </c>
      <c r="C15" t="s">
        <v>66</v>
      </c>
      <c r="D15" t="s">
        <v>67</v>
      </c>
      <c r="E15">
        <v>54.938043999999998</v>
      </c>
      <c r="F15">
        <f>(0.1*1000*E15)/(100*151.000645)</f>
        <v>0.36382655186671559</v>
      </c>
      <c r="G15" s="9">
        <f t="shared" si="0"/>
        <v>6.6224882681792533E-3</v>
      </c>
      <c r="H15">
        <v>-1000</v>
      </c>
      <c r="I15">
        <f>G15/'GEM Default'!G15</f>
        <v>6.6224882681792533E-3</v>
      </c>
      <c r="J15">
        <f t="shared" si="1"/>
        <v>-6.6224882681792536</v>
      </c>
    </row>
    <row r="16" spans="1:10" x14ac:dyDescent="0.2">
      <c r="A16" s="4" t="s">
        <v>87</v>
      </c>
      <c r="B16" t="s">
        <v>81</v>
      </c>
      <c r="C16" t="s">
        <v>102</v>
      </c>
      <c r="D16" t="s">
        <v>103</v>
      </c>
      <c r="E16">
        <v>159.9</v>
      </c>
      <c r="F16">
        <f>(0.02*1000*E16)/(100*205.92)</f>
        <v>0.1553030303030303</v>
      </c>
      <c r="G16" s="9">
        <f t="shared" si="0"/>
        <v>9.7125097125097125E-4</v>
      </c>
      <c r="H16">
        <v>-1000</v>
      </c>
      <c r="I16">
        <f>G16/'GEM Default'!G16</f>
        <v>9.7125097125097125E-4</v>
      </c>
      <c r="J16">
        <f t="shared" si="1"/>
        <v>-0.97125097125097126</v>
      </c>
    </row>
    <row r="17" spans="1:10" x14ac:dyDescent="0.2">
      <c r="A17" t="s">
        <v>10</v>
      </c>
      <c r="B17" t="s">
        <v>23</v>
      </c>
      <c r="C17" t="s">
        <v>72</v>
      </c>
      <c r="D17" t="s">
        <v>73</v>
      </c>
      <c r="E17">
        <v>22.989768999999999</v>
      </c>
      <c r="F17">
        <f>(0.5*E17)/58.443+(6*2*E17)/141.958822</f>
        <v>2.1400463218952366</v>
      </c>
      <c r="G17">
        <f t="shared" si="0"/>
        <v>9.3086899737671855E-2</v>
      </c>
      <c r="H17">
        <v>-1000</v>
      </c>
      <c r="I17">
        <f>G17/'GEM Default'!G17</f>
        <v>9.3086899737671855E-2</v>
      </c>
      <c r="J17">
        <f t="shared" si="1"/>
        <v>-93.086899737671857</v>
      </c>
    </row>
    <row r="18" spans="1:10" x14ac:dyDescent="0.2">
      <c r="A18" s="6" t="s">
        <v>45</v>
      </c>
      <c r="B18" t="s">
        <v>112</v>
      </c>
      <c r="C18" t="s">
        <v>46</v>
      </c>
      <c r="D18" t="s">
        <v>47</v>
      </c>
      <c r="E18">
        <v>18.039000000000001</v>
      </c>
      <c r="F18">
        <f>(1*E18)/53.491</f>
        <v>0.3372343010973809</v>
      </c>
      <c r="G18">
        <f t="shared" si="0"/>
        <v>1.8694733693518536E-2</v>
      </c>
      <c r="H18">
        <v>-1000</v>
      </c>
      <c r="I18">
        <f>G18/'GEM Default'!G18</f>
        <v>1.8694733693518536E-2</v>
      </c>
      <c r="J18">
        <f t="shared" si="1"/>
        <v>-18.694733693518536</v>
      </c>
    </row>
    <row r="19" spans="1:10" x14ac:dyDescent="0.2">
      <c r="A19" s="4" t="s">
        <v>39</v>
      </c>
      <c r="B19" t="s">
        <v>40</v>
      </c>
      <c r="C19" t="s">
        <v>68</v>
      </c>
      <c r="D19" t="s">
        <v>69</v>
      </c>
      <c r="E19">
        <v>58.693399999999997</v>
      </c>
      <c r="F19" s="11">
        <f>58.6934/1000000</f>
        <v>5.8693399999999996E-5</v>
      </c>
      <c r="G19" s="11">
        <f t="shared" si="0"/>
        <v>9.9999999999999995E-7</v>
      </c>
      <c r="H19">
        <v>-1000</v>
      </c>
      <c r="I19">
        <f>G19/'GEM Default'!G19</f>
        <v>9.9999999999999995E-7</v>
      </c>
      <c r="J19">
        <f t="shared" si="1"/>
        <v>-1E-3</v>
      </c>
    </row>
    <row r="20" spans="1:10" x14ac:dyDescent="0.2">
      <c r="A20" s="6" t="s">
        <v>9</v>
      </c>
      <c r="B20" t="s">
        <v>78</v>
      </c>
      <c r="C20" t="s">
        <v>104</v>
      </c>
      <c r="D20" t="s">
        <v>105</v>
      </c>
      <c r="E20">
        <v>15.999000000000001</v>
      </c>
      <c r="F20" s="11">
        <v>15.999000000000001</v>
      </c>
      <c r="G20" s="11">
        <f t="shared" si="0"/>
        <v>1</v>
      </c>
      <c r="H20">
        <v>-1000</v>
      </c>
      <c r="I20">
        <f>G20/'GEM Default'!G20</f>
        <v>1</v>
      </c>
      <c r="J20">
        <f t="shared" si="1"/>
        <v>-1000</v>
      </c>
    </row>
    <row r="21" spans="1:10" x14ac:dyDescent="0.2">
      <c r="A21" s="7" t="s">
        <v>15</v>
      </c>
      <c r="B21" t="s">
        <v>20</v>
      </c>
      <c r="C21" t="s">
        <v>49</v>
      </c>
      <c r="D21" t="s">
        <v>50</v>
      </c>
      <c r="E21">
        <v>94.971400000000003</v>
      </c>
      <c r="F21">
        <f>(6*E21)/141.958822+(3*E21)/136.085542</f>
        <v>6.1076805552886206</v>
      </c>
      <c r="G21">
        <f t="shared" si="0"/>
        <v>6.4310735182261408E-2</v>
      </c>
      <c r="H21">
        <v>-1000</v>
      </c>
      <c r="I21">
        <f>G21/'GEM Default'!G21</f>
        <v>6.4310735182261408E-2</v>
      </c>
      <c r="J21">
        <f t="shared" si="1"/>
        <v>-64.310735182261411</v>
      </c>
    </row>
    <row r="22" spans="1:10" x14ac:dyDescent="0.2">
      <c r="A22" t="s">
        <v>88</v>
      </c>
      <c r="B22" t="s">
        <v>82</v>
      </c>
      <c r="C22" t="s">
        <v>106</v>
      </c>
      <c r="D22" t="s">
        <v>107</v>
      </c>
      <c r="E22">
        <v>142.97</v>
      </c>
      <c r="F22">
        <v>0</v>
      </c>
      <c r="G22">
        <f t="shared" si="0"/>
        <v>0</v>
      </c>
      <c r="H22">
        <v>-1000</v>
      </c>
      <c r="I22">
        <f>G22/'GEM Default'!G22</f>
        <v>0</v>
      </c>
      <c r="J22">
        <f t="shared" si="1"/>
        <v>0</v>
      </c>
    </row>
    <row r="23" spans="1:10" x14ac:dyDescent="0.2">
      <c r="A23" t="s">
        <v>92</v>
      </c>
      <c r="B23" t="s">
        <v>83</v>
      </c>
      <c r="C23" t="s">
        <v>108</v>
      </c>
      <c r="D23" t="s">
        <v>109</v>
      </c>
      <c r="E23">
        <v>126.97</v>
      </c>
      <c r="F23">
        <v>0</v>
      </c>
      <c r="G23">
        <f t="shared" si="0"/>
        <v>0</v>
      </c>
      <c r="H23">
        <v>-1000</v>
      </c>
      <c r="I23">
        <f>G23/'GEM Default'!G23</f>
        <v>0</v>
      </c>
      <c r="J23">
        <f t="shared" si="1"/>
        <v>0</v>
      </c>
    </row>
    <row r="24" spans="1:10" x14ac:dyDescent="0.2">
      <c r="A24" s="7" t="s">
        <v>21</v>
      </c>
      <c r="B24" t="s">
        <v>48</v>
      </c>
      <c r="C24" t="s">
        <v>51</v>
      </c>
      <c r="D24" t="s">
        <v>52</v>
      </c>
      <c r="E24">
        <v>96.06</v>
      </c>
      <c r="F24">
        <f>(2*E24)/1000</f>
        <v>0.19212000000000001</v>
      </c>
      <c r="G24">
        <f t="shared" si="0"/>
        <v>2E-3</v>
      </c>
      <c r="H24">
        <v>-1000</v>
      </c>
      <c r="I24">
        <f>G24/'GEM Default'!G24</f>
        <v>2E-3</v>
      </c>
      <c r="J24">
        <f t="shared" si="1"/>
        <v>-2</v>
      </c>
    </row>
    <row r="25" spans="1:10" x14ac:dyDescent="0.2">
      <c r="A25" t="s">
        <v>93</v>
      </c>
      <c r="B25" t="s">
        <v>84</v>
      </c>
      <c r="C25" t="s">
        <v>110</v>
      </c>
      <c r="D25" t="s">
        <v>111</v>
      </c>
      <c r="E25">
        <v>247.8</v>
      </c>
      <c r="F25">
        <v>0</v>
      </c>
      <c r="G25">
        <f t="shared" si="0"/>
        <v>0</v>
      </c>
      <c r="H25">
        <v>-1000</v>
      </c>
      <c r="I25">
        <f>G25/'GEM Default'!G25</f>
        <v>0</v>
      </c>
      <c r="J25">
        <f t="shared" si="1"/>
        <v>0</v>
      </c>
    </row>
    <row r="26" spans="1:10" x14ac:dyDescent="0.2">
      <c r="A26" s="4" t="s">
        <v>37</v>
      </c>
      <c r="B26" t="s">
        <v>38</v>
      </c>
      <c r="C26" t="s">
        <v>74</v>
      </c>
      <c r="D26" t="s">
        <v>75</v>
      </c>
      <c r="E26">
        <v>65.38</v>
      </c>
      <c r="F26">
        <f>(0.02*1000*E26)/(100*161.443)</f>
        <v>8.0994530577355464E-2</v>
      </c>
      <c r="G26" s="9">
        <f t="shared" si="0"/>
        <v>1.2388273260531581E-3</v>
      </c>
      <c r="H26">
        <v>-1000</v>
      </c>
      <c r="I26">
        <f>G26/'GEM Default'!G26</f>
        <v>1.2388273260531581E-3</v>
      </c>
      <c r="J26">
        <f t="shared" si="1"/>
        <v>-1.2388273260531582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B1" workbookViewId="0">
      <selection activeCell="F1" sqref="F1:L1"/>
    </sheetView>
  </sheetViews>
  <sheetFormatPr defaultRowHeight="14.25" x14ac:dyDescent="0.2"/>
  <cols>
    <col min="1" max="1" width="30" bestFit="1" customWidth="1"/>
    <col min="2" max="2" width="50.125" bestFit="1" customWidth="1"/>
    <col min="3" max="3" width="12.375" bestFit="1" customWidth="1"/>
    <col min="4" max="4" width="19.875" bestFit="1" customWidth="1"/>
    <col min="5" max="5" width="6.25" hidden="1" customWidth="1"/>
    <col min="6" max="6" width="6.875" bestFit="1" customWidth="1"/>
    <col min="7" max="7" width="9.875" customWidth="1"/>
    <col min="8" max="9" width="11.875" customWidth="1"/>
    <col min="10" max="10" width="5.5" bestFit="1" customWidth="1"/>
    <col min="11" max="11" width="11.875" bestFit="1" customWidth="1"/>
    <col min="12" max="12" width="12.5" bestFit="1" customWidth="1"/>
  </cols>
  <sheetData>
    <row r="1" spans="1:12" ht="15" x14ac:dyDescent="0.25">
      <c r="A1" s="2" t="s">
        <v>0</v>
      </c>
      <c r="B1" s="2" t="s">
        <v>193</v>
      </c>
      <c r="C1" s="2" t="s">
        <v>1</v>
      </c>
      <c r="D1" s="2" t="s">
        <v>2</v>
      </c>
      <c r="E1" s="2" t="s">
        <v>3</v>
      </c>
      <c r="F1" s="2" t="s">
        <v>7</v>
      </c>
      <c r="G1" s="2" t="s">
        <v>166</v>
      </c>
      <c r="H1" s="2" t="s">
        <v>13</v>
      </c>
      <c r="I1" s="2" t="s">
        <v>194</v>
      </c>
      <c r="J1" s="2" t="s">
        <v>4</v>
      </c>
      <c r="K1" s="2" t="s">
        <v>5</v>
      </c>
      <c r="L1" s="2" t="s">
        <v>6</v>
      </c>
    </row>
    <row r="2" spans="1:12" x14ac:dyDescent="0.2">
      <c r="A2" t="s">
        <v>122</v>
      </c>
      <c r="B2" t="s">
        <v>167</v>
      </c>
      <c r="C2" t="s">
        <v>196</v>
      </c>
      <c r="D2" t="s">
        <v>197</v>
      </c>
      <c r="E2">
        <v>100</v>
      </c>
      <c r="F2">
        <f>E2*1000/1000000</f>
        <v>0.1</v>
      </c>
      <c r="G2">
        <v>89.1</v>
      </c>
      <c r="H2">
        <f>F2/G2</f>
        <v>1.1223344556677891E-3</v>
      </c>
      <c r="I2">
        <f>1000*H2</f>
        <v>1.122334455667789</v>
      </c>
      <c r="J2">
        <v>-1</v>
      </c>
      <c r="K2">
        <v>1</v>
      </c>
      <c r="L2">
        <f>-I2*K2</f>
        <v>-1.122334455667789</v>
      </c>
    </row>
    <row r="3" spans="1:12" x14ac:dyDescent="0.2">
      <c r="A3" t="s">
        <v>123</v>
      </c>
      <c r="B3" t="s">
        <v>167</v>
      </c>
      <c r="C3" t="s">
        <v>198</v>
      </c>
      <c r="D3" s="1" t="s">
        <v>199</v>
      </c>
      <c r="E3">
        <v>100</v>
      </c>
      <c r="F3">
        <f t="shared" ref="F3:F44" si="0">E3*1000/1000000</f>
        <v>0.1</v>
      </c>
      <c r="G3" s="3">
        <v>89.1</v>
      </c>
      <c r="H3">
        <f t="shared" ref="H3:H44" si="1">F3/G3</f>
        <v>1.1223344556677891E-3</v>
      </c>
      <c r="I3">
        <f t="shared" ref="I3:I44" si="2">1000*H3</f>
        <v>1.122334455667789</v>
      </c>
      <c r="J3">
        <v>-1</v>
      </c>
      <c r="K3">
        <v>1</v>
      </c>
      <c r="L3">
        <f t="shared" ref="L3:L26" si="3">-I3*K3</f>
        <v>-1.122334455667789</v>
      </c>
    </row>
    <row r="4" spans="1:12" x14ac:dyDescent="0.2">
      <c r="A4" t="s">
        <v>124</v>
      </c>
      <c r="B4" t="s">
        <v>168</v>
      </c>
      <c r="C4" t="s">
        <v>200</v>
      </c>
      <c r="D4" t="s">
        <v>201</v>
      </c>
      <c r="E4" s="1">
        <v>22</v>
      </c>
      <c r="F4">
        <f t="shared" si="0"/>
        <v>2.1999999999999999E-2</v>
      </c>
      <c r="G4">
        <v>174.2</v>
      </c>
      <c r="H4">
        <f t="shared" si="1"/>
        <v>1.2629161882893227E-4</v>
      </c>
      <c r="I4">
        <f t="shared" si="2"/>
        <v>0.12629161882893228</v>
      </c>
      <c r="J4">
        <v>-1</v>
      </c>
      <c r="K4">
        <v>1</v>
      </c>
      <c r="L4">
        <f t="shared" si="3"/>
        <v>-0.12629161882893228</v>
      </c>
    </row>
    <row r="5" spans="1:12" x14ac:dyDescent="0.2">
      <c r="A5" t="s">
        <v>162</v>
      </c>
      <c r="B5" t="s">
        <v>169</v>
      </c>
      <c r="C5" t="s">
        <v>202</v>
      </c>
      <c r="D5" t="s">
        <v>203</v>
      </c>
      <c r="E5">
        <v>100</v>
      </c>
      <c r="F5">
        <f t="shared" si="0"/>
        <v>0.1</v>
      </c>
      <c r="G5">
        <v>132.1</v>
      </c>
      <c r="H5">
        <f t="shared" si="1"/>
        <v>7.5700227100681313E-4</v>
      </c>
      <c r="I5">
        <f t="shared" si="2"/>
        <v>0.75700227100681317</v>
      </c>
      <c r="J5">
        <v>-1</v>
      </c>
      <c r="K5">
        <v>1</v>
      </c>
      <c r="L5">
        <f t="shared" si="3"/>
        <v>-0.75700227100681317</v>
      </c>
    </row>
    <row r="6" spans="1:12" x14ac:dyDescent="0.2">
      <c r="A6" t="s">
        <v>125</v>
      </c>
      <c r="B6" t="s">
        <v>170</v>
      </c>
      <c r="C6" t="s">
        <v>204</v>
      </c>
      <c r="D6" t="s">
        <v>205</v>
      </c>
      <c r="E6">
        <v>100</v>
      </c>
      <c r="F6">
        <f t="shared" si="0"/>
        <v>0.1</v>
      </c>
      <c r="G6">
        <v>133.1</v>
      </c>
      <c r="H6">
        <f t="shared" si="1"/>
        <v>7.513148009015778E-4</v>
      </c>
      <c r="I6">
        <f t="shared" si="2"/>
        <v>0.75131480090157776</v>
      </c>
      <c r="J6">
        <v>-1</v>
      </c>
      <c r="K6">
        <v>1</v>
      </c>
      <c r="L6">
        <f t="shared" si="3"/>
        <v>-0.75131480090157776</v>
      </c>
    </row>
    <row r="7" spans="1:12" x14ac:dyDescent="0.2">
      <c r="A7" t="s">
        <v>126</v>
      </c>
      <c r="B7" t="s">
        <v>171</v>
      </c>
      <c r="C7" t="s">
        <v>206</v>
      </c>
      <c r="D7" t="s">
        <v>207</v>
      </c>
      <c r="E7">
        <v>10</v>
      </c>
      <c r="F7">
        <f t="shared" si="0"/>
        <v>0.01</v>
      </c>
      <c r="G7">
        <v>121.2</v>
      </c>
      <c r="H7">
        <f t="shared" si="1"/>
        <v>8.2508250825082509E-5</v>
      </c>
      <c r="I7">
        <f t="shared" si="2"/>
        <v>8.2508250825082508E-2</v>
      </c>
      <c r="J7">
        <v>-1</v>
      </c>
      <c r="K7">
        <v>1</v>
      </c>
      <c r="L7">
        <f t="shared" si="3"/>
        <v>-8.2508250825082508E-2</v>
      </c>
    </row>
    <row r="8" spans="1:12" x14ac:dyDescent="0.2">
      <c r="A8" t="s">
        <v>127</v>
      </c>
      <c r="B8" t="s">
        <v>172</v>
      </c>
      <c r="C8" t="s">
        <v>208</v>
      </c>
      <c r="D8" t="s">
        <v>209</v>
      </c>
      <c r="E8">
        <v>100</v>
      </c>
      <c r="F8">
        <f t="shared" si="0"/>
        <v>0.1</v>
      </c>
      <c r="G8">
        <v>75.099999999999994</v>
      </c>
      <c r="H8">
        <f t="shared" si="1"/>
        <v>1.3315579227696406E-3</v>
      </c>
      <c r="I8">
        <f t="shared" si="2"/>
        <v>1.3315579227696406</v>
      </c>
      <c r="J8">
        <v>-1</v>
      </c>
      <c r="K8">
        <v>1</v>
      </c>
      <c r="L8">
        <f t="shared" si="3"/>
        <v>-1.3315579227696406</v>
      </c>
    </row>
    <row r="9" spans="1:12" x14ac:dyDescent="0.2">
      <c r="A9" t="s">
        <v>128</v>
      </c>
      <c r="B9" t="s">
        <v>173</v>
      </c>
      <c r="C9" t="s">
        <v>210</v>
      </c>
      <c r="D9" t="s">
        <v>211</v>
      </c>
      <c r="E9">
        <v>100</v>
      </c>
      <c r="F9">
        <f t="shared" si="0"/>
        <v>0.1</v>
      </c>
      <c r="G9">
        <v>147.1</v>
      </c>
      <c r="H9">
        <f t="shared" si="1"/>
        <v>6.7980965329707689E-4</v>
      </c>
      <c r="I9">
        <f t="shared" si="2"/>
        <v>0.67980965329707688</v>
      </c>
      <c r="J9">
        <v>-1</v>
      </c>
      <c r="K9">
        <v>1</v>
      </c>
      <c r="L9">
        <f t="shared" si="3"/>
        <v>-0.67980965329707688</v>
      </c>
    </row>
    <row r="10" spans="1:12" x14ac:dyDescent="0.2">
      <c r="A10" t="s">
        <v>129</v>
      </c>
      <c r="B10" t="s">
        <v>174</v>
      </c>
      <c r="C10" t="s">
        <v>212</v>
      </c>
      <c r="D10" t="s">
        <v>213</v>
      </c>
      <c r="E10">
        <v>100</v>
      </c>
      <c r="F10">
        <f t="shared" si="0"/>
        <v>0.1</v>
      </c>
      <c r="G10">
        <v>146.19999999999999</v>
      </c>
      <c r="H10">
        <f t="shared" si="1"/>
        <v>6.8399452804377575E-4</v>
      </c>
      <c r="I10">
        <f t="shared" si="2"/>
        <v>0.6839945280437757</v>
      </c>
      <c r="J10">
        <v>-1</v>
      </c>
      <c r="K10">
        <v>1</v>
      </c>
      <c r="L10">
        <f t="shared" si="3"/>
        <v>-0.6839945280437757</v>
      </c>
    </row>
    <row r="11" spans="1:12" x14ac:dyDescent="0.2">
      <c r="A11" t="s">
        <v>130</v>
      </c>
      <c r="B11" t="s">
        <v>175</v>
      </c>
      <c r="C11" t="s">
        <v>214</v>
      </c>
      <c r="D11" t="s">
        <v>215</v>
      </c>
      <c r="E11">
        <v>22</v>
      </c>
      <c r="F11">
        <f t="shared" si="0"/>
        <v>2.1999999999999999E-2</v>
      </c>
      <c r="G11">
        <v>155.19999999999999</v>
      </c>
      <c r="H11">
        <f t="shared" si="1"/>
        <v>1.4175257731958762E-4</v>
      </c>
      <c r="I11">
        <f t="shared" si="2"/>
        <v>0.14175257731958762</v>
      </c>
      <c r="J11">
        <v>-1</v>
      </c>
      <c r="K11">
        <v>1</v>
      </c>
      <c r="L11">
        <f t="shared" si="3"/>
        <v>-0.14175257731958762</v>
      </c>
    </row>
    <row r="12" spans="1:12" x14ac:dyDescent="0.2">
      <c r="A12" t="s">
        <v>131</v>
      </c>
      <c r="B12" t="s">
        <v>176</v>
      </c>
      <c r="C12" t="s">
        <v>216</v>
      </c>
      <c r="D12" t="s">
        <v>217</v>
      </c>
      <c r="E12">
        <v>20</v>
      </c>
      <c r="F12">
        <f t="shared" si="0"/>
        <v>0.02</v>
      </c>
      <c r="G12">
        <v>131.19999999999999</v>
      </c>
      <c r="H12">
        <f t="shared" si="1"/>
        <v>1.5243902439024393E-4</v>
      </c>
      <c r="I12">
        <f t="shared" si="2"/>
        <v>0.15243902439024393</v>
      </c>
      <c r="J12">
        <v>-1</v>
      </c>
      <c r="K12">
        <v>1</v>
      </c>
      <c r="L12">
        <f t="shared" si="3"/>
        <v>-0.15243902439024393</v>
      </c>
    </row>
    <row r="13" spans="1:12" x14ac:dyDescent="0.2">
      <c r="A13" t="s">
        <v>132</v>
      </c>
      <c r="B13" t="s">
        <v>177</v>
      </c>
      <c r="C13" t="s">
        <v>218</v>
      </c>
      <c r="D13" t="s">
        <v>219</v>
      </c>
      <c r="E13">
        <v>20</v>
      </c>
      <c r="F13">
        <f t="shared" si="0"/>
        <v>0.02</v>
      </c>
      <c r="G13">
        <v>131.19999999999999</v>
      </c>
      <c r="H13">
        <f t="shared" si="1"/>
        <v>1.5243902439024393E-4</v>
      </c>
      <c r="I13">
        <f t="shared" si="2"/>
        <v>0.15243902439024393</v>
      </c>
      <c r="J13">
        <v>-1</v>
      </c>
      <c r="K13">
        <v>1</v>
      </c>
      <c r="L13">
        <f t="shared" si="3"/>
        <v>-0.15243902439024393</v>
      </c>
    </row>
    <row r="14" spans="1:12" x14ac:dyDescent="0.2">
      <c r="A14" t="s">
        <v>133</v>
      </c>
      <c r="B14" t="s">
        <v>178</v>
      </c>
      <c r="C14" t="s">
        <v>220</v>
      </c>
      <c r="D14" t="s">
        <v>221</v>
      </c>
      <c r="E14">
        <v>88</v>
      </c>
      <c r="F14">
        <f t="shared" si="0"/>
        <v>8.7999999999999995E-2</v>
      </c>
      <c r="G14">
        <v>146.19999999999999</v>
      </c>
      <c r="H14">
        <f t="shared" si="1"/>
        <v>6.0191518467852254E-4</v>
      </c>
      <c r="I14">
        <f t="shared" si="2"/>
        <v>0.60191518467852256</v>
      </c>
      <c r="J14">
        <v>-1</v>
      </c>
      <c r="K14">
        <v>1</v>
      </c>
      <c r="L14">
        <f t="shared" si="3"/>
        <v>-0.60191518467852256</v>
      </c>
    </row>
    <row r="15" spans="1:12" x14ac:dyDescent="0.2">
      <c r="A15" t="s">
        <v>134</v>
      </c>
      <c r="B15" t="s">
        <v>179</v>
      </c>
      <c r="C15" t="s">
        <v>222</v>
      </c>
      <c r="D15" t="s">
        <v>223</v>
      </c>
      <c r="E15">
        <v>20</v>
      </c>
      <c r="F15">
        <f t="shared" si="0"/>
        <v>0.02</v>
      </c>
      <c r="G15">
        <v>149.19999999999999</v>
      </c>
      <c r="H15">
        <f t="shared" si="1"/>
        <v>1.3404825737265417E-4</v>
      </c>
      <c r="I15">
        <f t="shared" si="2"/>
        <v>0.13404825737265416</v>
      </c>
      <c r="J15">
        <v>-1</v>
      </c>
      <c r="K15">
        <v>1</v>
      </c>
      <c r="L15">
        <f t="shared" si="3"/>
        <v>-0.13404825737265416</v>
      </c>
    </row>
    <row r="16" spans="1:12" x14ac:dyDescent="0.2">
      <c r="A16" t="s">
        <v>135</v>
      </c>
      <c r="B16" t="s">
        <v>180</v>
      </c>
      <c r="C16" t="s">
        <v>224</v>
      </c>
      <c r="D16" s="1" t="s">
        <v>225</v>
      </c>
      <c r="E16">
        <v>20</v>
      </c>
      <c r="F16">
        <f t="shared" si="0"/>
        <v>0.02</v>
      </c>
      <c r="G16">
        <v>165.2</v>
      </c>
      <c r="H16">
        <f t="shared" si="1"/>
        <v>1.2106537530266345E-4</v>
      </c>
      <c r="I16">
        <f t="shared" si="2"/>
        <v>0.12106537530266345</v>
      </c>
      <c r="J16">
        <v>-1</v>
      </c>
      <c r="K16">
        <v>1</v>
      </c>
      <c r="L16">
        <f t="shared" si="3"/>
        <v>-0.12106537530266345</v>
      </c>
    </row>
    <row r="17" spans="1:12" x14ac:dyDescent="0.2">
      <c r="A17" t="s">
        <v>136</v>
      </c>
      <c r="B17" t="s">
        <v>181</v>
      </c>
      <c r="C17" t="s">
        <v>226</v>
      </c>
      <c r="D17" t="s">
        <v>227</v>
      </c>
      <c r="E17">
        <v>30</v>
      </c>
      <c r="F17">
        <f t="shared" si="0"/>
        <v>0.03</v>
      </c>
      <c r="G17">
        <v>115.1</v>
      </c>
      <c r="H17">
        <f t="shared" si="1"/>
        <v>2.6064291920069505E-4</v>
      </c>
      <c r="I17">
        <f t="shared" si="2"/>
        <v>0.26064291920069504</v>
      </c>
      <c r="J17">
        <v>-1</v>
      </c>
      <c r="K17">
        <v>1</v>
      </c>
      <c r="L17">
        <f t="shared" si="3"/>
        <v>-0.26064291920069504</v>
      </c>
    </row>
    <row r="18" spans="1:12" x14ac:dyDescent="0.2">
      <c r="A18" t="s">
        <v>137</v>
      </c>
      <c r="B18" t="s">
        <v>182</v>
      </c>
      <c r="C18" t="s">
        <v>228</v>
      </c>
      <c r="D18" t="s">
        <v>229</v>
      </c>
      <c r="E18">
        <v>100</v>
      </c>
      <c r="F18">
        <f t="shared" si="0"/>
        <v>0.1</v>
      </c>
      <c r="G18">
        <v>105.1</v>
      </c>
      <c r="H18">
        <f t="shared" si="1"/>
        <v>9.5147478591817332E-4</v>
      </c>
      <c r="I18">
        <f t="shared" si="2"/>
        <v>0.95147478591817336</v>
      </c>
      <c r="J18">
        <v>-1</v>
      </c>
      <c r="K18">
        <v>1</v>
      </c>
      <c r="L18">
        <f t="shared" si="3"/>
        <v>-0.95147478591817336</v>
      </c>
    </row>
    <row r="19" spans="1:12" x14ac:dyDescent="0.2">
      <c r="A19" t="s">
        <v>138</v>
      </c>
      <c r="B19" t="s">
        <v>183</v>
      </c>
      <c r="C19" t="s">
        <v>230</v>
      </c>
      <c r="D19" t="s">
        <v>231</v>
      </c>
      <c r="E19">
        <v>80</v>
      </c>
      <c r="F19">
        <f t="shared" si="0"/>
        <v>0.08</v>
      </c>
      <c r="G19">
        <v>119.1</v>
      </c>
      <c r="H19">
        <f t="shared" si="1"/>
        <v>6.7170445004198162E-4</v>
      </c>
      <c r="I19">
        <f t="shared" si="2"/>
        <v>0.67170445004198165</v>
      </c>
      <c r="J19">
        <v>-1</v>
      </c>
      <c r="K19">
        <v>1</v>
      </c>
      <c r="L19">
        <f t="shared" si="3"/>
        <v>-0.67170445004198165</v>
      </c>
    </row>
    <row r="20" spans="1:12" x14ac:dyDescent="0.2">
      <c r="A20" t="s">
        <v>139</v>
      </c>
      <c r="B20" t="s">
        <v>184</v>
      </c>
      <c r="C20" t="s">
        <v>232</v>
      </c>
      <c r="D20" t="s">
        <v>233</v>
      </c>
      <c r="E20">
        <v>20</v>
      </c>
      <c r="F20">
        <f t="shared" si="0"/>
        <v>0.02</v>
      </c>
      <c r="G20">
        <v>204.2</v>
      </c>
      <c r="H20">
        <f t="shared" si="1"/>
        <v>9.7943192948090116E-5</v>
      </c>
      <c r="I20">
        <f t="shared" si="2"/>
        <v>9.7943192948090119E-2</v>
      </c>
      <c r="J20">
        <v>-1</v>
      </c>
      <c r="K20">
        <v>1</v>
      </c>
      <c r="L20">
        <f t="shared" si="3"/>
        <v>-9.7943192948090119E-2</v>
      </c>
    </row>
    <row r="21" spans="1:12" x14ac:dyDescent="0.2">
      <c r="A21" t="s">
        <v>140</v>
      </c>
      <c r="B21" t="s">
        <v>185</v>
      </c>
      <c r="C21" t="s">
        <v>234</v>
      </c>
      <c r="D21" t="s">
        <v>235</v>
      </c>
      <c r="E21">
        <v>20</v>
      </c>
      <c r="F21">
        <f t="shared" si="0"/>
        <v>0.02</v>
      </c>
      <c r="G21">
        <v>181.2</v>
      </c>
      <c r="H21">
        <f t="shared" si="1"/>
        <v>1.1037527593818986E-4</v>
      </c>
      <c r="I21">
        <f t="shared" si="2"/>
        <v>0.11037527593818985</v>
      </c>
      <c r="J21">
        <v>-1</v>
      </c>
      <c r="K21">
        <v>1</v>
      </c>
      <c r="L21">
        <f t="shared" si="3"/>
        <v>-0.11037527593818985</v>
      </c>
    </row>
    <row r="22" spans="1:12" x14ac:dyDescent="0.2">
      <c r="A22" t="s">
        <v>141</v>
      </c>
      <c r="B22" t="s">
        <v>167</v>
      </c>
      <c r="C22" t="s">
        <v>236</v>
      </c>
      <c r="D22" t="s">
        <v>237</v>
      </c>
      <c r="E22">
        <v>40</v>
      </c>
      <c r="F22">
        <f t="shared" si="0"/>
        <v>0.04</v>
      </c>
      <c r="G22">
        <v>117.1</v>
      </c>
      <c r="H22">
        <f t="shared" si="1"/>
        <v>3.4158838599487618E-4</v>
      </c>
      <c r="I22">
        <f t="shared" si="2"/>
        <v>0.34158838599487618</v>
      </c>
      <c r="J22">
        <v>-1</v>
      </c>
      <c r="K22">
        <v>1</v>
      </c>
      <c r="L22">
        <f t="shared" si="3"/>
        <v>-0.34158838599487618</v>
      </c>
    </row>
    <row r="23" spans="1:12" x14ac:dyDescent="0.2">
      <c r="A23" t="s">
        <v>142</v>
      </c>
      <c r="B23" t="s">
        <v>186</v>
      </c>
      <c r="C23" t="s">
        <v>238</v>
      </c>
      <c r="D23" t="s">
        <v>239</v>
      </c>
      <c r="E23">
        <v>40</v>
      </c>
      <c r="F23">
        <f t="shared" si="0"/>
        <v>0.04</v>
      </c>
      <c r="G23">
        <v>135.13</v>
      </c>
      <c r="H23">
        <f t="shared" si="1"/>
        <v>2.9601124842744024E-4</v>
      </c>
      <c r="I23">
        <f t="shared" si="2"/>
        <v>0.29601124842744025</v>
      </c>
      <c r="J23">
        <v>-1</v>
      </c>
      <c r="K23">
        <v>1</v>
      </c>
      <c r="L23">
        <f t="shared" si="3"/>
        <v>-0.29601124842744025</v>
      </c>
    </row>
    <row r="24" spans="1:12" x14ac:dyDescent="0.2">
      <c r="A24" t="s">
        <v>143</v>
      </c>
      <c r="B24" t="s">
        <v>187</v>
      </c>
      <c r="C24" t="s">
        <v>240</v>
      </c>
      <c r="D24" t="s">
        <v>241</v>
      </c>
      <c r="E24">
        <v>5</v>
      </c>
      <c r="F24">
        <f t="shared" si="0"/>
        <v>5.0000000000000001E-3</v>
      </c>
      <c r="G24">
        <v>242.2286</v>
      </c>
      <c r="H24">
        <f t="shared" si="1"/>
        <v>2.0641658334317254E-5</v>
      </c>
      <c r="I24">
        <f t="shared" si="2"/>
        <v>2.0641658334317255E-2</v>
      </c>
      <c r="J24">
        <v>-1</v>
      </c>
      <c r="K24">
        <v>1</v>
      </c>
      <c r="L24">
        <f t="shared" si="3"/>
        <v>-2.0641658334317255E-2</v>
      </c>
    </row>
    <row r="25" spans="1:12" x14ac:dyDescent="0.2">
      <c r="A25" t="s">
        <v>144</v>
      </c>
      <c r="B25" t="s">
        <v>188</v>
      </c>
      <c r="C25" t="s">
        <v>242</v>
      </c>
      <c r="D25" t="s">
        <v>243</v>
      </c>
      <c r="E25">
        <v>40</v>
      </c>
      <c r="F25">
        <f t="shared" si="0"/>
        <v>0.04</v>
      </c>
      <c r="G25">
        <v>112.0868</v>
      </c>
      <c r="H25">
        <f t="shared" si="1"/>
        <v>3.5686628577138432E-4</v>
      </c>
      <c r="I25">
        <f t="shared" si="2"/>
        <v>0.3568662857713843</v>
      </c>
      <c r="J25">
        <v>-1</v>
      </c>
      <c r="K25">
        <v>1</v>
      </c>
      <c r="L25">
        <f t="shared" si="3"/>
        <v>-0.3568662857713843</v>
      </c>
    </row>
    <row r="26" spans="1:12" x14ac:dyDescent="0.2">
      <c r="A26" t="s">
        <v>145</v>
      </c>
      <c r="B26" t="s">
        <v>189</v>
      </c>
      <c r="C26" t="s">
        <v>244</v>
      </c>
      <c r="D26" t="s">
        <v>245</v>
      </c>
      <c r="E26">
        <v>40</v>
      </c>
      <c r="F26">
        <f t="shared" si="0"/>
        <v>0.04</v>
      </c>
      <c r="G26">
        <v>283.24099999999999</v>
      </c>
      <c r="H26">
        <f t="shared" si="1"/>
        <v>1.412224925063815E-4</v>
      </c>
      <c r="I26">
        <f t="shared" si="2"/>
        <v>0.1412224925063815</v>
      </c>
      <c r="J26">
        <v>-1</v>
      </c>
      <c r="K26">
        <v>1</v>
      </c>
      <c r="L26">
        <f t="shared" si="3"/>
        <v>-0.1412224925063815</v>
      </c>
    </row>
    <row r="27" spans="1:12" x14ac:dyDescent="0.2">
      <c r="A27" t="s">
        <v>146</v>
      </c>
      <c r="B27" t="s">
        <v>190</v>
      </c>
      <c r="C27" t="s">
        <v>246</v>
      </c>
      <c r="D27" t="s">
        <v>247</v>
      </c>
      <c r="E27">
        <v>0.5</v>
      </c>
      <c r="F27">
        <f t="shared" si="0"/>
        <v>5.0000000000000001E-4</v>
      </c>
      <c r="G27">
        <v>244.31</v>
      </c>
      <c r="H27">
        <f t="shared" si="1"/>
        <v>2.0465801645450454E-6</v>
      </c>
      <c r="I27">
        <f t="shared" si="2"/>
        <v>2.0465801645450452E-3</v>
      </c>
      <c r="J27">
        <v>-1</v>
      </c>
      <c r="K27">
        <v>1</v>
      </c>
      <c r="L27">
        <f>-I27*K27</f>
        <v>-2.0465801645450452E-3</v>
      </c>
    </row>
    <row r="28" spans="1:12" x14ac:dyDescent="0.2">
      <c r="A28" t="s">
        <v>147</v>
      </c>
      <c r="B28" t="s">
        <v>190</v>
      </c>
      <c r="E28">
        <v>1</v>
      </c>
      <c r="F28">
        <f t="shared" si="0"/>
        <v>1E-3</v>
      </c>
      <c r="G28">
        <v>123.11</v>
      </c>
      <c r="H28">
        <f t="shared" si="1"/>
        <v>8.1228169929331493E-6</v>
      </c>
      <c r="I28">
        <f t="shared" si="2"/>
        <v>8.1228169929331486E-3</v>
      </c>
      <c r="J28">
        <v>-1</v>
      </c>
      <c r="K28">
        <v>1</v>
      </c>
      <c r="L28">
        <f t="shared" ref="L28:L44" si="4">-I28*K28</f>
        <v>-8.1228169929331486E-3</v>
      </c>
    </row>
    <row r="29" spans="1:12" x14ac:dyDescent="0.2">
      <c r="A29" t="s">
        <v>148</v>
      </c>
      <c r="B29" t="s">
        <v>190</v>
      </c>
      <c r="C29" t="s">
        <v>248</v>
      </c>
      <c r="D29" t="s">
        <v>249</v>
      </c>
      <c r="E29">
        <v>1</v>
      </c>
      <c r="F29">
        <f t="shared" si="0"/>
        <v>1E-3</v>
      </c>
      <c r="G29">
        <v>219.23</v>
      </c>
      <c r="H29">
        <f t="shared" si="1"/>
        <v>4.5614195137526803E-6</v>
      </c>
      <c r="I29">
        <f t="shared" si="2"/>
        <v>4.5614195137526799E-3</v>
      </c>
      <c r="J29">
        <v>-1</v>
      </c>
      <c r="K29">
        <v>1</v>
      </c>
      <c r="L29">
        <f t="shared" si="4"/>
        <v>-4.5614195137526799E-3</v>
      </c>
    </row>
    <row r="30" spans="1:12" x14ac:dyDescent="0.2">
      <c r="A30" t="s">
        <v>149</v>
      </c>
      <c r="B30" t="s">
        <v>190</v>
      </c>
      <c r="C30" t="s">
        <v>250</v>
      </c>
      <c r="D30" t="s">
        <v>251</v>
      </c>
      <c r="E30">
        <v>1</v>
      </c>
      <c r="F30">
        <f t="shared" si="0"/>
        <v>1E-3</v>
      </c>
      <c r="G30">
        <v>169.18</v>
      </c>
      <c r="H30">
        <f t="shared" si="1"/>
        <v>5.9108641683414111E-6</v>
      </c>
      <c r="I30">
        <f t="shared" si="2"/>
        <v>5.9108641683414112E-3</v>
      </c>
      <c r="J30">
        <v>-1</v>
      </c>
      <c r="K30">
        <v>1</v>
      </c>
      <c r="L30">
        <f t="shared" si="4"/>
        <v>-5.9108641683414112E-3</v>
      </c>
    </row>
    <row r="31" spans="1:12" x14ac:dyDescent="0.2">
      <c r="A31" t="s">
        <v>195</v>
      </c>
      <c r="B31" t="s">
        <v>191</v>
      </c>
      <c r="C31" t="s">
        <v>252</v>
      </c>
      <c r="D31" t="s">
        <v>253</v>
      </c>
      <c r="E31">
        <v>1</v>
      </c>
      <c r="F31">
        <f t="shared" si="0"/>
        <v>1E-3</v>
      </c>
      <c r="G31">
        <v>265.35500000000002</v>
      </c>
      <c r="H31">
        <f t="shared" si="1"/>
        <v>3.7685364888545531E-6</v>
      </c>
      <c r="I31">
        <f t="shared" si="2"/>
        <v>3.768536488854553E-3</v>
      </c>
      <c r="J31">
        <v>-1</v>
      </c>
      <c r="K31">
        <v>1</v>
      </c>
      <c r="L31">
        <f t="shared" si="4"/>
        <v>-3.768536488854553E-3</v>
      </c>
    </row>
    <row r="32" spans="1:12" x14ac:dyDescent="0.2">
      <c r="A32" t="s">
        <v>150</v>
      </c>
      <c r="B32" t="s">
        <v>190</v>
      </c>
      <c r="E32">
        <v>200</v>
      </c>
      <c r="F32">
        <f t="shared" si="0"/>
        <v>0.2</v>
      </c>
      <c r="G32">
        <v>376.36</v>
      </c>
      <c r="H32">
        <f t="shared" si="1"/>
        <v>5.3140610054203423E-4</v>
      </c>
      <c r="I32">
        <f t="shared" si="2"/>
        <v>0.53140610054203419</v>
      </c>
      <c r="J32">
        <v>-1</v>
      </c>
      <c r="K32">
        <v>1</v>
      </c>
      <c r="L32">
        <f t="shared" si="4"/>
        <v>-0.53140610054203419</v>
      </c>
    </row>
    <row r="33" spans="1:12" x14ac:dyDescent="0.2">
      <c r="A33" t="s">
        <v>151</v>
      </c>
      <c r="B33" t="s">
        <v>192</v>
      </c>
      <c r="E33">
        <v>2</v>
      </c>
      <c r="F33">
        <f t="shared" si="0"/>
        <v>2E-3</v>
      </c>
      <c r="G33">
        <v>137.13999999999999</v>
      </c>
      <c r="H33">
        <f t="shared" si="1"/>
        <v>1.4583637159107484E-5</v>
      </c>
      <c r="I33">
        <f t="shared" si="2"/>
        <v>1.4583637159107484E-2</v>
      </c>
      <c r="J33">
        <v>-1</v>
      </c>
      <c r="K33">
        <v>1</v>
      </c>
      <c r="L33">
        <f t="shared" si="4"/>
        <v>-1.4583637159107484E-2</v>
      </c>
    </row>
    <row r="34" spans="1:12" x14ac:dyDescent="0.2">
      <c r="A34" t="s">
        <v>163</v>
      </c>
      <c r="B34" t="s">
        <v>190</v>
      </c>
      <c r="C34" t="s">
        <v>96</v>
      </c>
      <c r="D34" s="1" t="s">
        <v>97</v>
      </c>
      <c r="E34">
        <v>10</v>
      </c>
      <c r="F34">
        <f t="shared" si="0"/>
        <v>0.01</v>
      </c>
      <c r="G34" s="12">
        <v>1355.365</v>
      </c>
      <c r="H34">
        <f t="shared" si="1"/>
        <v>7.3780863457445043E-6</v>
      </c>
      <c r="I34">
        <f t="shared" si="2"/>
        <v>7.3780863457445041E-3</v>
      </c>
      <c r="J34">
        <v>-1</v>
      </c>
      <c r="K34">
        <v>1</v>
      </c>
      <c r="L34">
        <f t="shared" si="4"/>
        <v>-7.3780863457445041E-3</v>
      </c>
    </row>
    <row r="35" spans="1:12" x14ac:dyDescent="0.2">
      <c r="A35" t="s">
        <v>152</v>
      </c>
      <c r="B35" t="s">
        <v>165</v>
      </c>
      <c r="E35">
        <v>100</v>
      </c>
      <c r="F35">
        <f t="shared" si="0"/>
        <v>0.1</v>
      </c>
      <c r="G35">
        <v>190.2</v>
      </c>
      <c r="H35">
        <f t="shared" si="1"/>
        <v>5.2576235541535235E-4</v>
      </c>
      <c r="I35">
        <f t="shared" si="2"/>
        <v>0.52576235541535232</v>
      </c>
      <c r="J35">
        <v>-1</v>
      </c>
      <c r="K35">
        <v>1</v>
      </c>
      <c r="L35">
        <f t="shared" si="4"/>
        <v>-0.52576235541535232</v>
      </c>
    </row>
    <row r="36" spans="1:12" x14ac:dyDescent="0.2">
      <c r="A36" t="s">
        <v>153</v>
      </c>
      <c r="C36" t="s">
        <v>254</v>
      </c>
      <c r="D36" t="s">
        <v>255</v>
      </c>
      <c r="E36">
        <v>20</v>
      </c>
      <c r="F36">
        <f t="shared" si="0"/>
        <v>0.02</v>
      </c>
      <c r="G36">
        <v>119.12</v>
      </c>
      <c r="H36">
        <f t="shared" si="1"/>
        <v>1.6789791806581599E-4</v>
      </c>
      <c r="I36">
        <f t="shared" si="2"/>
        <v>0.167897918065816</v>
      </c>
      <c r="J36">
        <v>-1</v>
      </c>
      <c r="K36">
        <v>1</v>
      </c>
      <c r="L36">
        <f t="shared" si="4"/>
        <v>-0.167897918065816</v>
      </c>
    </row>
    <row r="37" spans="1:12" x14ac:dyDescent="0.2">
      <c r="A37" t="s">
        <v>154</v>
      </c>
      <c r="E37">
        <v>25</v>
      </c>
      <c r="F37">
        <f t="shared" si="0"/>
        <v>2.5000000000000001E-2</v>
      </c>
      <c r="G37">
        <v>131.12989999999999</v>
      </c>
      <c r="H37">
        <f t="shared" si="1"/>
        <v>1.9065064489487144E-4</v>
      </c>
      <c r="I37">
        <f t="shared" si="2"/>
        <v>0.19065064489487143</v>
      </c>
      <c r="J37">
        <v>-1</v>
      </c>
      <c r="K37">
        <v>1</v>
      </c>
      <c r="L37">
        <f t="shared" si="4"/>
        <v>-0.19065064489487143</v>
      </c>
    </row>
    <row r="38" spans="1:12" x14ac:dyDescent="0.2">
      <c r="A38" t="s">
        <v>155</v>
      </c>
      <c r="E38">
        <v>100</v>
      </c>
      <c r="F38">
        <f t="shared" si="0"/>
        <v>0.1</v>
      </c>
      <c r="G38">
        <v>190.15199999999999</v>
      </c>
      <c r="H38">
        <f t="shared" si="1"/>
        <v>5.2589507341495236E-4</v>
      </c>
      <c r="I38">
        <f t="shared" si="2"/>
        <v>0.52589507341495234</v>
      </c>
      <c r="J38">
        <v>-1</v>
      </c>
      <c r="K38">
        <v>1</v>
      </c>
      <c r="L38">
        <f t="shared" si="4"/>
        <v>-0.52589507341495234</v>
      </c>
    </row>
    <row r="39" spans="1:12" x14ac:dyDescent="0.2">
      <c r="A39" t="s">
        <v>156</v>
      </c>
      <c r="C39" t="s">
        <v>256</v>
      </c>
      <c r="D39" t="s">
        <v>257</v>
      </c>
      <c r="E39">
        <v>100</v>
      </c>
      <c r="F39">
        <f t="shared" si="0"/>
        <v>0.1</v>
      </c>
      <c r="G39">
        <v>174.15</v>
      </c>
      <c r="H39">
        <f t="shared" si="1"/>
        <v>5.7421762848119441E-4</v>
      </c>
      <c r="I39">
        <f t="shared" si="2"/>
        <v>0.5742176284811944</v>
      </c>
      <c r="J39">
        <v>-1</v>
      </c>
      <c r="K39">
        <v>1</v>
      </c>
      <c r="L39">
        <f t="shared" si="4"/>
        <v>-0.5742176284811944</v>
      </c>
    </row>
    <row r="40" spans="1:12" x14ac:dyDescent="0.2">
      <c r="A40" t="s">
        <v>157</v>
      </c>
      <c r="B40" t="s">
        <v>164</v>
      </c>
      <c r="E40">
        <v>15</v>
      </c>
      <c r="F40">
        <f t="shared" si="0"/>
        <v>1.4999999999999999E-2</v>
      </c>
      <c r="G40">
        <v>138.12</v>
      </c>
      <c r="H40">
        <f t="shared" si="1"/>
        <v>1.0860121633362293E-4</v>
      </c>
      <c r="I40">
        <f t="shared" si="2"/>
        <v>0.10860121633362294</v>
      </c>
      <c r="J40">
        <v>-1</v>
      </c>
      <c r="K40">
        <v>1</v>
      </c>
      <c r="L40">
        <f t="shared" si="4"/>
        <v>-0.10860121633362294</v>
      </c>
    </row>
    <row r="41" spans="1:12" x14ac:dyDescent="0.2">
      <c r="A41" t="s">
        <v>158</v>
      </c>
      <c r="B41" t="s">
        <v>164</v>
      </c>
      <c r="E41">
        <v>2</v>
      </c>
      <c r="F41">
        <f t="shared" si="0"/>
        <v>2E-3</v>
      </c>
      <c r="G41">
        <v>154.12</v>
      </c>
      <c r="H41">
        <f t="shared" si="1"/>
        <v>1.2976901116013495E-5</v>
      </c>
      <c r="I41">
        <f t="shared" si="2"/>
        <v>1.2976901116013495E-2</v>
      </c>
      <c r="J41">
        <v>-1</v>
      </c>
      <c r="K41">
        <v>1</v>
      </c>
      <c r="L41">
        <f t="shared" si="4"/>
        <v>-1.2976901116013495E-2</v>
      </c>
    </row>
    <row r="42" spans="1:12" x14ac:dyDescent="0.2">
      <c r="A42" t="s">
        <v>159</v>
      </c>
      <c r="E42">
        <v>15</v>
      </c>
      <c r="F42">
        <f t="shared" si="0"/>
        <v>1.4999999999999999E-2</v>
      </c>
      <c r="G42">
        <v>175.2</v>
      </c>
      <c r="H42">
        <f t="shared" si="1"/>
        <v>8.5616438356164384E-5</v>
      </c>
      <c r="I42">
        <f t="shared" si="2"/>
        <v>8.5616438356164379E-2</v>
      </c>
      <c r="J42">
        <v>-1</v>
      </c>
      <c r="K42">
        <v>1</v>
      </c>
      <c r="L42">
        <f t="shared" si="4"/>
        <v>-8.5616438356164379E-2</v>
      </c>
    </row>
    <row r="43" spans="1:12" x14ac:dyDescent="0.2">
      <c r="A43" t="s">
        <v>160</v>
      </c>
      <c r="C43" t="s">
        <v>258</v>
      </c>
      <c r="D43" t="s">
        <v>259</v>
      </c>
      <c r="E43">
        <v>15</v>
      </c>
      <c r="F43">
        <f t="shared" si="0"/>
        <v>1.4999999999999999E-2</v>
      </c>
      <c r="G43">
        <v>132.16</v>
      </c>
      <c r="H43">
        <f t="shared" si="1"/>
        <v>1.1349878934624698E-4</v>
      </c>
      <c r="I43">
        <f t="shared" si="2"/>
        <v>0.11349878934624698</v>
      </c>
      <c r="J43">
        <v>-1</v>
      </c>
      <c r="K43">
        <v>1</v>
      </c>
      <c r="L43">
        <f t="shared" si="4"/>
        <v>-0.11349878934624698</v>
      </c>
    </row>
    <row r="44" spans="1:12" x14ac:dyDescent="0.2">
      <c r="A44" t="s">
        <v>161</v>
      </c>
      <c r="C44" t="s">
        <v>260</v>
      </c>
      <c r="D44" t="s">
        <v>261</v>
      </c>
      <c r="E44">
        <v>20</v>
      </c>
      <c r="F44">
        <f t="shared" si="0"/>
        <v>0.02</v>
      </c>
      <c r="G44">
        <v>88.15</v>
      </c>
      <c r="H44">
        <f t="shared" si="1"/>
        <v>2.2688598979013044E-4</v>
      </c>
      <c r="I44">
        <f t="shared" si="2"/>
        <v>0.22688598979013044</v>
      </c>
      <c r="J44">
        <v>-1</v>
      </c>
      <c r="K44">
        <v>1</v>
      </c>
      <c r="L44">
        <f t="shared" si="4"/>
        <v>-0.22688598979013044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Annotation Legend</vt:lpstr>
      <vt:lpstr>GEM Default</vt:lpstr>
      <vt:lpstr>M9 + glucose</vt:lpstr>
      <vt:lpstr>LB</vt:lpstr>
      <vt:lpstr>Metadata (Zlitni)</vt:lpstr>
      <vt:lpstr>M9 (Zlitni)</vt:lpstr>
      <vt:lpstr>Supplements (Zlitni)</vt:lpstr>
    </vt:vector>
  </TitlesOfParts>
  <Company>University of Michigan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Chung, Carolina</dc:creator>
  <cp:lastModifiedBy>Chung, Carolina</cp:lastModifiedBy>
  <dcterms:created xsi:type="dcterms:W3CDTF">2020-03-11T14:00:28Z</dcterms:created>
  <dcterms:modified xsi:type="dcterms:W3CDTF">2020-03-17T21:32:19Z</dcterms:modified>
</cp:coreProperties>
</file>