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FC6454-4723-447C-B902-4980397C38EE}" xr6:coauthVersionLast="47" xr6:coauthVersionMax="47" xr10:uidLastSave="{00000000-0000-0000-0000-000000000000}"/>
  <bookViews>
    <workbookView xWindow="-120" yWindow="-120" windowWidth="20730" windowHeight="11160" tabRatio="848" activeTab="3" xr2:uid="{926265CC-03D1-45B8-BBE4-E99ABC5CEB5D}"/>
  </bookViews>
  <sheets>
    <sheet name="Financial Projection" sheetId="1" r:id="rId1"/>
    <sheet name="EBIT-EPS Analysis" sheetId="5" r:id="rId2"/>
    <sheet name="Working Capital Analysis" sheetId="8" r:id="rId3"/>
    <sheet name="Dividend Policy 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E19" i="8"/>
  <c r="F19" i="8"/>
  <c r="E18" i="8"/>
  <c r="F18" i="8"/>
  <c r="E17" i="8"/>
  <c r="F17" i="8"/>
  <c r="C19" i="8"/>
  <c r="C18" i="8"/>
  <c r="C17" i="8"/>
  <c r="D15" i="8"/>
  <c r="E15" i="8"/>
  <c r="F15" i="8"/>
  <c r="C15" i="8"/>
  <c r="D14" i="8"/>
  <c r="E14" i="8"/>
  <c r="F14" i="8"/>
  <c r="C14" i="8"/>
  <c r="C13" i="8"/>
  <c r="C12" i="8"/>
  <c r="G11" i="8"/>
  <c r="E12" i="8"/>
  <c r="D12" i="8"/>
  <c r="F13" i="8"/>
  <c r="F11" i="8"/>
  <c r="E11" i="8"/>
  <c r="E13" i="8" s="1"/>
  <c r="D11" i="8"/>
  <c r="D13" i="8" s="1"/>
  <c r="C11" i="8"/>
  <c r="D19" i="8"/>
  <c r="D18" i="8"/>
  <c r="D17" i="8"/>
  <c r="F12" i="8"/>
  <c r="E17" i="5" l="1"/>
  <c r="E16" i="5"/>
  <c r="F16" i="5" s="1"/>
  <c r="C16" i="5"/>
  <c r="C6" i="5"/>
  <c r="C15" i="1"/>
  <c r="F25" i="1"/>
  <c r="F26" i="1"/>
  <c r="F27" i="1"/>
  <c r="F28" i="1"/>
  <c r="F29" i="1"/>
  <c r="C25" i="1"/>
  <c r="C18" i="1"/>
  <c r="F17" i="5" l="1"/>
  <c r="D6" i="4"/>
  <c r="D7" i="4"/>
  <c r="D8" i="4"/>
  <c r="D5" i="4"/>
  <c r="D4" i="4"/>
  <c r="C38" i="1"/>
  <c r="C26" i="1"/>
  <c r="G26" i="1" s="1"/>
  <c r="C39" i="1"/>
  <c r="C41" i="1" s="1"/>
  <c r="G25" i="1" l="1"/>
  <c r="D26" i="1"/>
  <c r="C27" i="1"/>
  <c r="D25" i="1"/>
  <c r="C40" i="1"/>
  <c r="C43" i="1" s="1"/>
  <c r="D50" i="1" l="1"/>
  <c r="D52" i="1"/>
  <c r="D53" i="1"/>
  <c r="D51" i="1"/>
  <c r="D54" i="1"/>
  <c r="E25" i="1"/>
  <c r="J25" i="1"/>
  <c r="D27" i="1"/>
  <c r="G27" i="1"/>
  <c r="E26" i="1"/>
  <c r="J26" i="1"/>
  <c r="C28" i="1"/>
  <c r="G28" i="1" s="1"/>
  <c r="K25" i="1" l="1"/>
  <c r="C50" i="1" s="1"/>
  <c r="E50" i="1" s="1"/>
  <c r="E27" i="1"/>
  <c r="J27" i="1"/>
  <c r="C29" i="1"/>
  <c r="D28" i="1"/>
  <c r="K26" i="1"/>
  <c r="C51" i="1" s="1"/>
  <c r="E51" i="1" s="1"/>
  <c r="D29" i="1" l="1"/>
  <c r="G29" i="1"/>
  <c r="E28" i="1"/>
  <c r="J28" i="1"/>
  <c r="K27" i="1"/>
  <c r="C52" i="1" s="1"/>
  <c r="E52" i="1" s="1"/>
  <c r="K28" i="1" l="1"/>
  <c r="C53" i="1" s="1"/>
  <c r="E53" i="1" s="1"/>
  <c r="E29" i="1"/>
  <c r="J29" i="1"/>
  <c r="K29" i="1" l="1"/>
  <c r="C54" i="1" s="1"/>
  <c r="E54" i="1" s="1"/>
  <c r="E56" i="1" s="1"/>
</calcChain>
</file>

<file path=xl/sharedStrings.xml><?xml version="1.0" encoding="utf-8"?>
<sst xmlns="http://schemas.openxmlformats.org/spreadsheetml/2006/main" count="130" uniqueCount="111">
  <si>
    <t>EBIT</t>
  </si>
  <si>
    <t>FREE CASH FLOW (FCF) = EBIT(1-T) + DEPRECIATION - CAPEX - CHANGE IN WORKING CAPITAL</t>
  </si>
  <si>
    <t>EBIT (cr)</t>
  </si>
  <si>
    <t>EBIT(1-T)</t>
  </si>
  <si>
    <t>FCF</t>
  </si>
  <si>
    <t>FY25</t>
  </si>
  <si>
    <t>FY26</t>
  </si>
  <si>
    <t>FY27</t>
  </si>
  <si>
    <t>FY28</t>
  </si>
  <si>
    <t>FY29</t>
  </si>
  <si>
    <t>WACC = (E/V*KE) + (D/V*KD(1-T))</t>
  </si>
  <si>
    <t>V = E+D</t>
  </si>
  <si>
    <t>E/V</t>
  </si>
  <si>
    <t>D/V</t>
  </si>
  <si>
    <t>NPV</t>
  </si>
  <si>
    <t>Values</t>
  </si>
  <si>
    <t>In Cr.</t>
  </si>
  <si>
    <t>Financial Projection</t>
  </si>
  <si>
    <t>Assumptions</t>
  </si>
  <si>
    <t>5% of Revenue</t>
  </si>
  <si>
    <t>Revenue Growth</t>
  </si>
  <si>
    <t>Tax Rate</t>
  </si>
  <si>
    <t>Depreciation</t>
  </si>
  <si>
    <t>Base Year (FY24)</t>
  </si>
  <si>
    <t>Revenue</t>
  </si>
  <si>
    <t xml:space="preserve">EBIT(1-T) </t>
  </si>
  <si>
    <t>CAPEX</t>
  </si>
  <si>
    <t>Revenue (cr)</t>
  </si>
  <si>
    <t>Depreciation (cr)</t>
  </si>
  <si>
    <t>Working Capital Change</t>
  </si>
  <si>
    <t>Working Capital Change (cr)</t>
  </si>
  <si>
    <t>Cost of Equity (KE)</t>
  </si>
  <si>
    <t>Cost of Debt (KD)</t>
  </si>
  <si>
    <t>Tax</t>
  </si>
  <si>
    <t>WACC Disc Rate</t>
  </si>
  <si>
    <t>Discounting Factor</t>
  </si>
  <si>
    <t>NPV Calculation</t>
  </si>
  <si>
    <t>Year</t>
  </si>
  <si>
    <t>CapEx (cr)</t>
  </si>
  <si>
    <t xml:space="preserve">Year </t>
  </si>
  <si>
    <t>Step 1:</t>
  </si>
  <si>
    <t>Assumptions and Inputs for Voltas</t>
  </si>
  <si>
    <t>Key Financial Data</t>
  </si>
  <si>
    <t>AMT</t>
  </si>
  <si>
    <t>INTEREST EXPENSE</t>
  </si>
  <si>
    <t>(IN CR)</t>
  </si>
  <si>
    <t>NUMBER OF SHARES</t>
  </si>
  <si>
    <t>TAX RATE</t>
  </si>
  <si>
    <t xml:space="preserve">ADDITIONAL LEVERAGE </t>
  </si>
  <si>
    <t>COST OF DEBT</t>
  </si>
  <si>
    <t>Step 2:</t>
  </si>
  <si>
    <t>Results and Interpretations</t>
  </si>
  <si>
    <t>Financing Scenario</t>
  </si>
  <si>
    <t>EBIT (₹ Cr)</t>
  </si>
  <si>
    <t>Interest Expense (₹ Cr)</t>
  </si>
  <si>
    <t>Net Income (₹ Cr)</t>
  </si>
  <si>
    <t>EPS (₹/Share)</t>
  </si>
  <si>
    <t>All Equity</t>
  </si>
  <si>
    <t>High Leverage</t>
  </si>
  <si>
    <t>Working Capital Analysis</t>
  </si>
  <si>
    <t>Parameter</t>
  </si>
  <si>
    <t>Value (₹ Crore)</t>
  </si>
  <si>
    <t>Current Assets</t>
  </si>
  <si>
    <t>Current Liabilities</t>
  </si>
  <si>
    <t>Debtor Days</t>
  </si>
  <si>
    <t>Inventory Days</t>
  </si>
  <si>
    <t>Payables Days</t>
  </si>
  <si>
    <t>Cash Conversion Cycle</t>
  </si>
  <si>
    <t>Working Capital</t>
  </si>
  <si>
    <t>Current Ratio</t>
  </si>
  <si>
    <t>Quick Ratio</t>
  </si>
  <si>
    <t>Dividend Policy Analysis</t>
  </si>
  <si>
    <t>Net Profit (Rs Cr)</t>
  </si>
  <si>
    <t>Mar 2020</t>
  </si>
  <si>
    <t>Mar 2021</t>
  </si>
  <si>
    <t>Mar 2022</t>
  </si>
  <si>
    <t>Mar 2023</t>
  </si>
  <si>
    <t>Mar 2024</t>
  </si>
  <si>
    <t>Dividend Paid (Cr)</t>
  </si>
  <si>
    <t xml:space="preserve">Dividend Payout Ratio (%) </t>
  </si>
  <si>
    <t>EBIT-EPS ANALYSIS</t>
  </si>
  <si>
    <t>(Profit Before tax + Financial Cost)</t>
  </si>
  <si>
    <t>(WC of current year - WC of prev year)</t>
  </si>
  <si>
    <t>11.3% per year</t>
  </si>
  <si>
    <t>EBIT Growth</t>
  </si>
  <si>
    <t>CapEx</t>
  </si>
  <si>
    <t>12.51% of revenue</t>
  </si>
  <si>
    <t>4% of EBIT</t>
  </si>
  <si>
    <t>2% of Revenue</t>
  </si>
  <si>
    <t>Book Value of Equity (E)</t>
  </si>
  <si>
    <t>Book Value of Debt (D)</t>
  </si>
  <si>
    <t>(Interest Expense / Total Debt) × (1 - Tax Rate)</t>
  </si>
  <si>
    <t>Total NPV</t>
  </si>
  <si>
    <t>(Equity Share Capital/Face Value)</t>
  </si>
  <si>
    <t>FY'24</t>
  </si>
  <si>
    <t>FY'23</t>
  </si>
  <si>
    <t>Opeing Inventory</t>
  </si>
  <si>
    <t>Closing Inventory</t>
  </si>
  <si>
    <t>COGS</t>
  </si>
  <si>
    <t>FY'22</t>
  </si>
  <si>
    <t>FY'21</t>
  </si>
  <si>
    <t>(Inventory days = ((avg inventory)/cogs)*365)</t>
  </si>
  <si>
    <t>Average Trade Receivables</t>
  </si>
  <si>
    <t>Average Trade Payables</t>
  </si>
  <si>
    <t>FY'20</t>
  </si>
  <si>
    <t>(debtor days = ( avg accounts receivable/revenue)*365)</t>
  </si>
  <si>
    <t>(payable days = ( avg accounts payable/cogs)*365)</t>
  </si>
  <si>
    <t>Cash Conversion Cycle (CCC)=Inventory Days+Debtor Days−Payable Days</t>
  </si>
  <si>
    <t>Working Capital = Current Assets − Current Liabilities</t>
  </si>
  <si>
    <t>Current Ratio = Current Assets ÷ Current Liabilities</t>
  </si>
  <si>
    <t>Quick Ratio = (Current Assets − Inventory − Prepaid Expenses) ÷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</si>
</sst>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₹&quot;\ #,##0.00;[Red]&quot;₹&quot;\ \-#,##0.00"/>
    <numFmt numFmtId="166" formatCode="&quot;₹&quot;\ #,##0;[Red]&quot;₹&quot;\ \-#,##0"/>
    <numFmt numFmtId="167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sz val="9.6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0" fontId="1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9" fontId="0" fillId="3" borderId="2" xfId="0" applyNumberFormat="1" applyFont="1" applyFill="1" applyBorder="1" applyAlignment="1">
      <alignment horizontal="center"/>
    </xf>
    <xf numFmtId="9" fontId="0" fillId="3" borderId="1" xfId="0" applyNumberFormat="1" applyFont="1" applyFill="1" applyBorder="1" applyAlignment="1">
      <alignment horizontal="center"/>
    </xf>
    <xf numFmtId="10" fontId="0" fillId="3" borderId="2" xfId="0" applyNumberFormat="1" applyFont="1" applyFill="1" applyBorder="1" applyAlignment="1">
      <alignment horizontal="center"/>
    </xf>
    <xf numFmtId="10" fontId="0" fillId="3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" fontId="8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0" fontId="1" fillId="7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2" fontId="0" fillId="0" borderId="1" xfId="0" applyNumberFormat="1" applyBorder="1"/>
    <xf numFmtId="0" fontId="13" fillId="0" borderId="1" xfId="0" applyFont="1" applyBorder="1"/>
    <xf numFmtId="0" fontId="1" fillId="7" borderId="1" xfId="0" applyFont="1" applyFill="1" applyBorder="1" applyAlignment="1">
      <alignment horizontal="center" vertical="top"/>
    </xf>
    <xf numFmtId="0" fontId="0" fillId="0" borderId="0" xfId="0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0" fontId="9" fillId="0" borderId="1" xfId="0" applyFont="1" applyBorder="1" applyAlignment="1">
      <alignment vertical="center" wrapText="1"/>
    </xf>
    <xf numFmtId="166" fontId="9" fillId="0" borderId="1" xfId="0" applyNumberFormat="1" applyFont="1" applyBorder="1" applyAlignment="1">
      <alignment vertical="center" wrapText="1"/>
    </xf>
    <xf numFmtId="165" fontId="0" fillId="0" borderId="1" xfId="0" applyNumberFormat="1" applyBorder="1"/>
    <xf numFmtId="0" fontId="9" fillId="8" borderId="1" xfId="0" applyFont="1" applyFill="1" applyBorder="1" applyAlignment="1">
      <alignment horizontal="center" vertical="top" wrapText="1"/>
    </xf>
    <xf numFmtId="165" fontId="9" fillId="8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15" fillId="0" borderId="0" xfId="0" applyFont="1"/>
    <xf numFmtId="10" fontId="15" fillId="0" borderId="0" xfId="0" applyNumberFormat="1" applyFont="1"/>
    <xf numFmtId="0" fontId="1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" fontId="0" fillId="0" borderId="1" xfId="0" applyNumberFormat="1" applyBorder="1"/>
    <xf numFmtId="0" fontId="1" fillId="0" borderId="4" xfId="0" applyFont="1" applyBorder="1"/>
    <xf numFmtId="0" fontId="0" fillId="0" borderId="4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4" fontId="0" fillId="0" borderId="1" xfId="0" applyNumberFormat="1" applyFont="1" applyFill="1" applyBorder="1" applyAlignment="1">
      <alignment horizontal="right" vertical="center" wrapText="1"/>
    </xf>
    <xf numFmtId="4" fontId="0" fillId="0" borderId="1" xfId="0" applyNumberFormat="1" applyFill="1" applyBorder="1"/>
    <xf numFmtId="4" fontId="16" fillId="0" borderId="1" xfId="0" applyNumberFormat="1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10" fillId="9" borderId="2" xfId="0" applyFont="1" applyFill="1" applyBorder="1"/>
    <xf numFmtId="0" fontId="1" fillId="9" borderId="1" xfId="0" applyFont="1" applyFill="1" applyBorder="1" applyAlignment="1">
      <alignment horizontal="center"/>
    </xf>
    <xf numFmtId="0" fontId="0" fillId="0" borderId="1" xfId="0" applyFont="1" applyFill="1" applyBorder="1"/>
    <xf numFmtId="4" fontId="0" fillId="0" borderId="1" xfId="0" applyNumberFormat="1" applyFont="1" applyFill="1" applyBorder="1"/>
    <xf numFmtId="167" fontId="0" fillId="0" borderId="1" xfId="0" applyNumberFormat="1" applyFont="1" applyFill="1" applyBorder="1"/>
    <xf numFmtId="2" fontId="0" fillId="0" borderId="1" xfId="0" applyNumberFormat="1" applyFont="1" applyFill="1" applyBorder="1"/>
    <xf numFmtId="2" fontId="0" fillId="0" borderId="1" xfId="0" applyNumberFormat="1" applyFill="1" applyBorder="1"/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30B0-4F3F-42D6-A7E2-E8B7798C7860}">
  <dimension ref="A1:K66"/>
  <sheetViews>
    <sheetView topLeftCell="A36" zoomScale="85" zoomScaleNormal="85" workbookViewId="0">
      <selection activeCell="C38" sqref="C38"/>
    </sheetView>
  </sheetViews>
  <sheetFormatPr defaultRowHeight="15" x14ac:dyDescent="0.25"/>
  <cols>
    <col min="2" max="2" width="33.28515625" customWidth="1"/>
    <col min="3" max="3" width="25.85546875" customWidth="1"/>
    <col min="4" max="4" width="23" customWidth="1"/>
    <col min="5" max="5" width="21.42578125" customWidth="1"/>
    <col min="6" max="6" width="10.85546875" customWidth="1"/>
    <col min="7" max="7" width="19" customWidth="1"/>
    <col min="8" max="8" width="6.7109375" customWidth="1"/>
    <col min="9" max="9" width="9.140625" hidden="1" customWidth="1"/>
    <col min="10" max="10" width="12.140625" customWidth="1"/>
    <col min="11" max="11" width="16" customWidth="1"/>
  </cols>
  <sheetData>
    <row r="1" spans="1:11" ht="31.5" x14ac:dyDescent="0.5">
      <c r="A1" s="1"/>
      <c r="C1" s="98" t="s">
        <v>17</v>
      </c>
      <c r="D1" s="98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50" t="s">
        <v>18</v>
      </c>
      <c r="D3" s="50" t="s">
        <v>15</v>
      </c>
      <c r="F3" s="1"/>
      <c r="G3" s="1"/>
      <c r="H3" s="1"/>
      <c r="I3" s="1"/>
      <c r="J3" s="1"/>
      <c r="K3" s="1"/>
    </row>
    <row r="4" spans="1:11" x14ac:dyDescent="0.25">
      <c r="A4" s="1"/>
      <c r="B4" s="29" t="s">
        <v>20</v>
      </c>
      <c r="C4" s="36" t="s">
        <v>83</v>
      </c>
      <c r="D4" s="39">
        <v>0.1132</v>
      </c>
      <c r="E4" s="72"/>
      <c r="F4" s="1"/>
      <c r="G4" s="1"/>
      <c r="H4" s="1"/>
      <c r="I4" s="1"/>
      <c r="J4" s="1"/>
      <c r="K4" s="1"/>
    </row>
    <row r="5" spans="1:11" x14ac:dyDescent="0.25">
      <c r="A5" s="1"/>
      <c r="B5" s="29" t="s">
        <v>84</v>
      </c>
      <c r="C5" s="36" t="s">
        <v>86</v>
      </c>
      <c r="D5" s="39">
        <v>0.12509999999999999</v>
      </c>
      <c r="E5" s="72"/>
      <c r="F5" s="1"/>
      <c r="G5" s="1"/>
      <c r="H5" s="1"/>
      <c r="I5" s="1"/>
      <c r="J5" s="1"/>
      <c r="K5" s="1"/>
    </row>
    <row r="6" spans="1:11" x14ac:dyDescent="0.25">
      <c r="A6" s="1"/>
      <c r="B6" s="29" t="s">
        <v>21</v>
      </c>
      <c r="C6" s="38">
        <v>0.20300000000000001</v>
      </c>
      <c r="D6" s="39">
        <v>0.20300000000000001</v>
      </c>
      <c r="F6" s="1"/>
      <c r="G6" s="1"/>
      <c r="H6" s="1"/>
      <c r="I6" s="1"/>
      <c r="J6" s="1"/>
      <c r="K6" s="1"/>
    </row>
    <row r="7" spans="1:11" x14ac:dyDescent="0.25">
      <c r="A7" s="1"/>
      <c r="B7" s="29" t="s">
        <v>22</v>
      </c>
      <c r="C7" s="40" t="s">
        <v>87</v>
      </c>
      <c r="D7" s="37">
        <v>0.04</v>
      </c>
      <c r="E7" s="72"/>
      <c r="F7" s="1"/>
      <c r="G7" s="1"/>
      <c r="H7" s="1"/>
      <c r="I7" s="1"/>
      <c r="J7" s="1"/>
      <c r="K7" s="1"/>
    </row>
    <row r="8" spans="1:11" x14ac:dyDescent="0.25">
      <c r="A8" s="1"/>
      <c r="B8" s="29" t="s">
        <v>29</v>
      </c>
      <c r="C8" s="41" t="s">
        <v>19</v>
      </c>
      <c r="D8" s="37">
        <v>0.05</v>
      </c>
      <c r="F8" s="1"/>
      <c r="G8" s="1"/>
      <c r="H8" s="1"/>
      <c r="I8" s="1"/>
      <c r="J8" s="1"/>
      <c r="K8" s="1"/>
    </row>
    <row r="9" spans="1:11" s="24" customFormat="1" x14ac:dyDescent="0.25">
      <c r="A9" s="21"/>
      <c r="B9" s="73" t="s">
        <v>85</v>
      </c>
      <c r="C9" s="75" t="s">
        <v>88</v>
      </c>
      <c r="D9" s="76">
        <v>0.02</v>
      </c>
      <c r="E9" s="27"/>
      <c r="F9" s="21"/>
      <c r="G9" s="21"/>
      <c r="H9" s="21"/>
      <c r="I9" s="21"/>
      <c r="J9" s="21"/>
      <c r="K9" s="21"/>
    </row>
    <row r="10" spans="1:11" s="24" customFormat="1" x14ac:dyDescent="0.25">
      <c r="A10" s="21"/>
      <c r="B10" s="21"/>
      <c r="C10" s="22"/>
      <c r="D10" s="21"/>
      <c r="E10" s="23"/>
      <c r="F10" s="21"/>
      <c r="G10" s="21"/>
      <c r="H10" s="21"/>
      <c r="I10" s="21"/>
      <c r="J10" s="21"/>
      <c r="K10" s="21"/>
    </row>
    <row r="11" spans="1:11" x14ac:dyDescent="0.25">
      <c r="A11" s="1"/>
      <c r="B11" s="3"/>
      <c r="C11" s="5"/>
      <c r="D11" s="5"/>
      <c r="E11" s="5"/>
      <c r="F11" s="1"/>
      <c r="G11" s="1"/>
      <c r="H11" s="1"/>
      <c r="I11" s="1"/>
      <c r="J11" s="1"/>
      <c r="K11" s="1"/>
    </row>
    <row r="12" spans="1:11" x14ac:dyDescent="0.25">
      <c r="A12" s="1"/>
      <c r="B12" s="3"/>
      <c r="C12" s="5"/>
      <c r="D12" s="5"/>
      <c r="E12" s="5"/>
      <c r="F12" s="1"/>
      <c r="G12" s="1"/>
      <c r="H12" s="1"/>
      <c r="I12" s="1"/>
      <c r="J12" s="1"/>
      <c r="K12" s="1"/>
    </row>
    <row r="13" spans="1:11" x14ac:dyDescent="0.25">
      <c r="A13" s="1"/>
      <c r="B13" s="50" t="s">
        <v>23</v>
      </c>
      <c r="C13" s="51" t="s">
        <v>16</v>
      </c>
      <c r="D13" s="5"/>
      <c r="E13" s="5"/>
      <c r="F13" s="1"/>
      <c r="G13" s="1"/>
      <c r="H13" s="1"/>
      <c r="I13" s="1"/>
      <c r="J13" s="1"/>
      <c r="K13" s="1"/>
    </row>
    <row r="14" spans="1:11" x14ac:dyDescent="0.25">
      <c r="A14" s="1"/>
      <c r="B14" s="6" t="s">
        <v>24</v>
      </c>
      <c r="C14" s="42">
        <v>8987.76</v>
      </c>
      <c r="D14" s="5"/>
      <c r="E14" s="5"/>
      <c r="F14" s="1"/>
      <c r="G14" s="1"/>
      <c r="H14" s="1"/>
      <c r="I14" s="1"/>
      <c r="J14" s="1"/>
      <c r="K14" s="1"/>
    </row>
    <row r="15" spans="1:11" x14ac:dyDescent="0.25">
      <c r="A15" s="1"/>
      <c r="B15" s="6" t="s">
        <v>0</v>
      </c>
      <c r="C15" s="43">
        <f>758.2+20.88</f>
        <v>779.08</v>
      </c>
      <c r="D15" s="71" t="s">
        <v>81</v>
      </c>
      <c r="E15" s="7"/>
      <c r="F15" s="1"/>
      <c r="G15" s="1"/>
      <c r="H15" s="1"/>
      <c r="I15" s="1"/>
      <c r="J15" s="1"/>
      <c r="K15" s="1"/>
    </row>
    <row r="16" spans="1:11" x14ac:dyDescent="0.25">
      <c r="A16" s="1"/>
      <c r="B16" s="6" t="s">
        <v>25</v>
      </c>
      <c r="C16" s="44">
        <v>604.26</v>
      </c>
      <c r="F16" s="1"/>
      <c r="G16" s="1"/>
      <c r="H16" s="1"/>
      <c r="I16" s="1"/>
      <c r="J16" s="1"/>
      <c r="K16" s="1"/>
    </row>
    <row r="17" spans="1:11" x14ac:dyDescent="0.25">
      <c r="A17" s="1"/>
      <c r="B17" s="6" t="s">
        <v>26</v>
      </c>
      <c r="C17" s="43">
        <v>244</v>
      </c>
      <c r="D17" s="8"/>
      <c r="E17" s="9"/>
      <c r="F17" s="1"/>
      <c r="G17" s="1"/>
      <c r="H17" s="1"/>
      <c r="I17" s="1"/>
      <c r="J17" s="1"/>
      <c r="K17" s="1"/>
    </row>
    <row r="18" spans="1:11" x14ac:dyDescent="0.25">
      <c r="A18" s="1"/>
      <c r="B18" s="6" t="s">
        <v>29</v>
      </c>
      <c r="C18" s="43">
        <f>(5603.37-3873.24)-(4509.54-3129.96)</f>
        <v>350.55000000000018</v>
      </c>
      <c r="D18" t="s">
        <v>82</v>
      </c>
      <c r="F18" s="1"/>
      <c r="G18" s="1"/>
      <c r="H18" s="1"/>
      <c r="I18" s="1"/>
      <c r="J18" s="1"/>
      <c r="K18" s="1"/>
    </row>
    <row r="19" spans="1:11" x14ac:dyDescent="0.25">
      <c r="A19" s="1"/>
      <c r="B19" s="6" t="s">
        <v>22</v>
      </c>
      <c r="C19" s="45">
        <v>42.82</v>
      </c>
      <c r="F19" s="1"/>
      <c r="G19" s="1"/>
      <c r="H19" s="1"/>
      <c r="I19" s="1"/>
      <c r="J19" s="1"/>
      <c r="K19" s="1"/>
    </row>
    <row r="20" spans="1:11" x14ac:dyDescent="0.25">
      <c r="A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0"/>
      <c r="F21" s="1"/>
      <c r="G21" s="1"/>
      <c r="H21" s="1"/>
      <c r="I21" s="1"/>
      <c r="J21" s="1"/>
      <c r="K21" s="1"/>
    </row>
    <row r="22" spans="1:11" x14ac:dyDescent="0.25">
      <c r="A22" s="1"/>
      <c r="B22" s="99" t="s">
        <v>1</v>
      </c>
      <c r="C22" s="99"/>
      <c r="D22" s="99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1"/>
      <c r="F23" s="1"/>
      <c r="G23" s="1"/>
      <c r="H23" s="1"/>
      <c r="I23" s="1"/>
      <c r="J23" s="1"/>
      <c r="K23" s="1"/>
    </row>
    <row r="24" spans="1:11" x14ac:dyDescent="0.25">
      <c r="A24" s="1"/>
      <c r="B24" s="52" t="s">
        <v>37</v>
      </c>
      <c r="C24" s="53" t="s">
        <v>27</v>
      </c>
      <c r="D24" s="52" t="s">
        <v>2</v>
      </c>
      <c r="E24" s="52" t="s">
        <v>28</v>
      </c>
      <c r="F24" s="52" t="s">
        <v>38</v>
      </c>
      <c r="G24" s="100" t="s">
        <v>30</v>
      </c>
      <c r="H24" s="100"/>
      <c r="I24" s="100"/>
      <c r="J24" s="52" t="s">
        <v>3</v>
      </c>
      <c r="K24" s="52" t="s">
        <v>4</v>
      </c>
    </row>
    <row r="25" spans="1:11" x14ac:dyDescent="0.25">
      <c r="A25" s="1"/>
      <c r="B25" s="35" t="s">
        <v>5</v>
      </c>
      <c r="C25" s="12">
        <f>C14*(1+D4)</f>
        <v>10005.174432</v>
      </c>
      <c r="D25" s="12">
        <f>C25*$D$5</f>
        <v>1251.6473214431999</v>
      </c>
      <c r="E25" s="12">
        <f>D25*$D$7</f>
        <v>50.065892857727995</v>
      </c>
      <c r="F25" s="13">
        <f>(C25*$D$9)</f>
        <v>200.10348863999999</v>
      </c>
      <c r="G25" s="97">
        <f>C25*$D$8</f>
        <v>500.2587216</v>
      </c>
      <c r="H25" s="97"/>
      <c r="I25" s="97"/>
      <c r="J25" s="12">
        <f>D25*(1-$D$6)</f>
        <v>997.56291519023023</v>
      </c>
      <c r="K25" s="4">
        <f>J25+E25-F25-G25</f>
        <v>347.26659780795825</v>
      </c>
    </row>
    <row r="26" spans="1:11" x14ac:dyDescent="0.25">
      <c r="A26" s="1"/>
      <c r="B26" s="35" t="s">
        <v>6</v>
      </c>
      <c r="C26" s="12">
        <f>C25*(1+D4)</f>
        <v>11137.760177702399</v>
      </c>
      <c r="D26" s="12">
        <f t="shared" ref="D26:D29" si="0">C26*$D$5</f>
        <v>1393.33379823057</v>
      </c>
      <c r="E26" s="12">
        <f t="shared" ref="E26:E29" si="1">D26*$D$7</f>
        <v>55.733351929222799</v>
      </c>
      <c r="F26" s="13">
        <f t="shared" ref="F26:F29" si="2">(C26*$D$9)</f>
        <v>222.75520355404799</v>
      </c>
      <c r="G26" s="97">
        <f t="shared" ref="G26:G29" si="3">C26*$D$8</f>
        <v>556.88800888512003</v>
      </c>
      <c r="H26" s="97"/>
      <c r="I26" s="97"/>
      <c r="J26" s="12">
        <f t="shared" ref="J26:J29" si="4">D26*(1-$D$6)</f>
        <v>1110.4870371897641</v>
      </c>
      <c r="K26" s="4">
        <f t="shared" ref="K26:K29" si="5">J26+E26-F26-G26</f>
        <v>386.57717667981899</v>
      </c>
    </row>
    <row r="27" spans="1:11" x14ac:dyDescent="0.25">
      <c r="A27" s="1"/>
      <c r="B27" s="35" t="s">
        <v>7</v>
      </c>
      <c r="C27" s="12">
        <f>C26*(1+D4)</f>
        <v>12398.554629818311</v>
      </c>
      <c r="D27" s="12">
        <f t="shared" si="0"/>
        <v>1551.0591841902706</v>
      </c>
      <c r="E27" s="12">
        <f t="shared" si="1"/>
        <v>62.042367367610822</v>
      </c>
      <c r="F27" s="13">
        <f t="shared" si="2"/>
        <v>247.97109259636622</v>
      </c>
      <c r="G27" s="97">
        <f t="shared" si="3"/>
        <v>619.92773149091556</v>
      </c>
      <c r="H27" s="97"/>
      <c r="I27" s="97"/>
      <c r="J27" s="12">
        <f t="shared" si="4"/>
        <v>1236.1941697996456</v>
      </c>
      <c r="K27" s="4">
        <f t="shared" si="5"/>
        <v>430.33771307997461</v>
      </c>
    </row>
    <row r="28" spans="1:11" x14ac:dyDescent="0.25">
      <c r="A28" s="1"/>
      <c r="B28" s="35" t="s">
        <v>8</v>
      </c>
      <c r="C28" s="12">
        <f>C27*115%</f>
        <v>14258.337824291057</v>
      </c>
      <c r="D28" s="12">
        <f t="shared" si="0"/>
        <v>1783.7180618188111</v>
      </c>
      <c r="E28" s="12">
        <f t="shared" si="1"/>
        <v>71.348722472752442</v>
      </c>
      <c r="F28" s="13">
        <f t="shared" si="2"/>
        <v>285.16675648582117</v>
      </c>
      <c r="G28" s="97">
        <f t="shared" si="3"/>
        <v>712.91689121455283</v>
      </c>
      <c r="H28" s="97"/>
      <c r="I28" s="97"/>
      <c r="J28" s="12">
        <f t="shared" si="4"/>
        <v>1421.6232952695923</v>
      </c>
      <c r="K28" s="4">
        <f t="shared" si="5"/>
        <v>494.88837004197057</v>
      </c>
    </row>
    <row r="29" spans="1:11" x14ac:dyDescent="0.25">
      <c r="A29" s="1"/>
      <c r="B29" s="35" t="s">
        <v>9</v>
      </c>
      <c r="C29" s="12">
        <f>C28*(1+D4)</f>
        <v>15872.381666000803</v>
      </c>
      <c r="D29" s="12">
        <f t="shared" si="0"/>
        <v>1985.6349464167004</v>
      </c>
      <c r="E29" s="12">
        <f t="shared" si="1"/>
        <v>79.425397856668013</v>
      </c>
      <c r="F29" s="13">
        <f t="shared" si="2"/>
        <v>317.44763332001605</v>
      </c>
      <c r="G29" s="97">
        <f t="shared" si="3"/>
        <v>793.61908330004019</v>
      </c>
      <c r="H29" s="97"/>
      <c r="I29" s="97"/>
      <c r="J29" s="12">
        <f t="shared" si="4"/>
        <v>1582.5510522941101</v>
      </c>
      <c r="K29" s="4">
        <f t="shared" si="5"/>
        <v>550.90973353072184</v>
      </c>
    </row>
    <row r="30" spans="1:11" x14ac:dyDescent="0.25">
      <c r="A30" s="1"/>
      <c r="B30" s="3"/>
      <c r="C30" s="5"/>
      <c r="D30" s="2"/>
      <c r="E30" s="14"/>
      <c r="F30" s="1"/>
      <c r="G30" s="1"/>
      <c r="H30" s="1"/>
      <c r="I30" s="1"/>
      <c r="J30" s="1"/>
      <c r="K30" s="1"/>
    </row>
    <row r="31" spans="1:11" x14ac:dyDescent="0.25">
      <c r="A31" s="1"/>
      <c r="B31" s="49" t="s">
        <v>10</v>
      </c>
      <c r="C31" s="5"/>
      <c r="F31" s="1"/>
      <c r="G31" s="1"/>
      <c r="H31" s="1"/>
      <c r="I31" s="1"/>
      <c r="J31" s="1"/>
      <c r="K31" s="1"/>
    </row>
    <row r="32" spans="1:11" x14ac:dyDescent="0.25">
      <c r="A32" s="1"/>
      <c r="F32" s="1"/>
      <c r="G32" s="1"/>
      <c r="H32" s="1"/>
      <c r="I32" s="1"/>
      <c r="J32" s="1"/>
      <c r="K32" s="1"/>
    </row>
    <row r="33" spans="1:11" x14ac:dyDescent="0.25">
      <c r="A33" s="1"/>
      <c r="C33" s="52" t="s">
        <v>16</v>
      </c>
      <c r="F33" s="1"/>
      <c r="G33" s="1"/>
      <c r="H33" s="1"/>
      <c r="I33" s="1"/>
      <c r="J33" s="1"/>
      <c r="K33" s="1"/>
    </row>
    <row r="34" spans="1:11" x14ac:dyDescent="0.25">
      <c r="A34" s="1"/>
      <c r="B34" s="31" t="s">
        <v>89</v>
      </c>
      <c r="C34" s="46">
        <v>7498.4</v>
      </c>
      <c r="D34" s="15"/>
      <c r="F34" s="1"/>
      <c r="G34" s="1"/>
      <c r="H34" s="1"/>
      <c r="I34" s="1"/>
      <c r="J34" s="1"/>
      <c r="K34" s="1"/>
    </row>
    <row r="35" spans="1:11" x14ac:dyDescent="0.25">
      <c r="A35" s="1"/>
      <c r="B35" s="31" t="s">
        <v>90</v>
      </c>
      <c r="C35" s="47">
        <v>398.32</v>
      </c>
      <c r="D35" s="16"/>
      <c r="F35" s="1"/>
      <c r="G35" s="1"/>
      <c r="H35" s="1"/>
      <c r="I35" s="1"/>
      <c r="J35" s="1"/>
      <c r="K35" s="1"/>
    </row>
    <row r="36" spans="1:11" x14ac:dyDescent="0.25">
      <c r="A36" s="1"/>
      <c r="B36" s="31" t="s">
        <v>31</v>
      </c>
      <c r="C36" s="48">
        <v>0.11600000000000001</v>
      </c>
      <c r="D36" s="17"/>
      <c r="F36" s="1"/>
      <c r="G36" s="1"/>
      <c r="H36" s="1"/>
      <c r="I36" s="1"/>
      <c r="J36" s="1"/>
      <c r="K36" s="1"/>
    </row>
    <row r="37" spans="1:11" x14ac:dyDescent="0.25">
      <c r="A37" s="1"/>
      <c r="B37" s="31" t="s">
        <v>32</v>
      </c>
      <c r="C37" s="48">
        <f>(20.88/398.32)*(1-D6)</f>
        <v>4.1778871259289009E-2</v>
      </c>
      <c r="D37" s="71" t="s">
        <v>91</v>
      </c>
      <c r="F37" s="1"/>
      <c r="G37" s="1"/>
      <c r="H37" s="1"/>
      <c r="I37" s="1"/>
      <c r="J37" s="1"/>
      <c r="K37" s="1"/>
    </row>
    <row r="38" spans="1:11" x14ac:dyDescent="0.25">
      <c r="A38" s="1"/>
      <c r="B38" s="31" t="s">
        <v>33</v>
      </c>
      <c r="C38" s="20">
        <f>D6</f>
        <v>0.20300000000000001</v>
      </c>
      <c r="F38" s="1"/>
      <c r="G38" s="1"/>
      <c r="H38" s="1"/>
      <c r="I38" s="1"/>
      <c r="J38" s="1"/>
      <c r="K38" s="1"/>
    </row>
    <row r="39" spans="1:11" x14ac:dyDescent="0.25">
      <c r="A39" s="1"/>
      <c r="B39" s="31" t="s">
        <v>11</v>
      </c>
      <c r="C39" s="18">
        <f>C34+C35</f>
        <v>7896.7199999999993</v>
      </c>
      <c r="F39" s="1"/>
      <c r="G39" s="1"/>
      <c r="H39" s="1"/>
      <c r="I39" s="1"/>
      <c r="J39" s="1"/>
      <c r="K39" s="1"/>
    </row>
    <row r="40" spans="1:11" x14ac:dyDescent="0.25">
      <c r="A40" s="1"/>
      <c r="B40" s="31" t="s">
        <v>12</v>
      </c>
      <c r="C40" s="19">
        <f>C34/C39</f>
        <v>0.94955880416172789</v>
      </c>
      <c r="F40" s="1"/>
      <c r="G40" s="1"/>
      <c r="H40" s="1"/>
      <c r="I40" s="1"/>
      <c r="J40" s="1"/>
      <c r="K40" s="1"/>
    </row>
    <row r="41" spans="1:11" x14ac:dyDescent="0.25">
      <c r="A41" s="1"/>
      <c r="B41" s="31" t="s">
        <v>13</v>
      </c>
      <c r="C41" s="19">
        <f>C35/C39</f>
        <v>5.0441195838272099E-2</v>
      </c>
      <c r="F41" s="1"/>
      <c r="G41" s="1"/>
      <c r="H41" s="1"/>
      <c r="I41" s="1"/>
      <c r="J41" s="1"/>
      <c r="K41" s="1"/>
    </row>
    <row r="42" spans="1:11" x14ac:dyDescent="0.25">
      <c r="A42" s="1"/>
      <c r="B42" s="30"/>
      <c r="F42" s="1"/>
      <c r="G42" s="1"/>
      <c r="H42" s="1"/>
      <c r="I42" s="1"/>
      <c r="J42" s="1"/>
      <c r="K42" s="1"/>
    </row>
    <row r="43" spans="1:11" x14ac:dyDescent="0.25">
      <c r="A43" s="1"/>
      <c r="B43" s="31" t="s">
        <v>34</v>
      </c>
      <c r="C43" s="28">
        <f>(C40*C36)+(C41*(C37*(1-C38)))</f>
        <v>0.11182840013575256</v>
      </c>
      <c r="F43" s="1"/>
      <c r="G43" s="1"/>
      <c r="H43" s="1"/>
      <c r="I43" s="1"/>
      <c r="J43" s="1"/>
      <c r="K43" s="1"/>
    </row>
    <row r="44" spans="1:11" s="24" customFormat="1" x14ac:dyDescent="0.25">
      <c r="A44" s="21"/>
      <c r="B44" s="25"/>
      <c r="C44" s="26"/>
      <c r="F44" s="21"/>
      <c r="G44" s="21"/>
      <c r="H44" s="21"/>
      <c r="I44" s="21"/>
      <c r="J44" s="21"/>
      <c r="K44" s="21"/>
    </row>
    <row r="45" spans="1:11" x14ac:dyDescent="0.25">
      <c r="A45" s="1"/>
      <c r="F45" s="1"/>
      <c r="G45" s="1"/>
      <c r="H45" s="1"/>
      <c r="I45" s="1"/>
      <c r="J45" s="1"/>
      <c r="K45" s="1"/>
    </row>
    <row r="46" spans="1:11" x14ac:dyDescent="0.25">
      <c r="A46" s="1"/>
      <c r="F46" s="1"/>
      <c r="G46" s="1"/>
      <c r="H46" s="1"/>
      <c r="I46" s="1"/>
      <c r="J46" s="1"/>
      <c r="K46" s="1"/>
    </row>
    <row r="47" spans="1:11" x14ac:dyDescent="0.25">
      <c r="A47" s="1"/>
      <c r="F47" s="1"/>
      <c r="G47" s="1"/>
      <c r="H47" s="1"/>
      <c r="I47" s="1"/>
      <c r="J47" s="1"/>
      <c r="K47" s="1"/>
    </row>
    <row r="48" spans="1:11" x14ac:dyDescent="0.25">
      <c r="A48" s="1"/>
      <c r="B48" s="2" t="s">
        <v>36</v>
      </c>
      <c r="F48" s="1"/>
      <c r="G48" s="1"/>
      <c r="H48" s="1"/>
      <c r="I48" s="1"/>
      <c r="J48" s="1"/>
      <c r="K48" s="1"/>
    </row>
    <row r="49" spans="1:11" x14ac:dyDescent="0.25">
      <c r="A49" s="1"/>
      <c r="B49" s="52" t="s">
        <v>39</v>
      </c>
      <c r="C49" s="52" t="s">
        <v>4</v>
      </c>
      <c r="D49" s="52" t="s">
        <v>35</v>
      </c>
      <c r="E49" s="52" t="s">
        <v>14</v>
      </c>
      <c r="F49" s="1"/>
      <c r="G49" s="1"/>
      <c r="H49" s="1"/>
      <c r="I49" s="1"/>
      <c r="J49" s="1"/>
      <c r="K49" s="1"/>
    </row>
    <row r="50" spans="1:11" x14ac:dyDescent="0.25">
      <c r="A50" s="1"/>
      <c r="B50" s="35" t="s">
        <v>5</v>
      </c>
      <c r="C50" s="32">
        <f>K25</f>
        <v>347.26659780795825</v>
      </c>
      <c r="D50" s="33">
        <f>(1+$C$43)^1</f>
        <v>1.1118284001357526</v>
      </c>
      <c r="E50" s="34">
        <f>C50/D50</f>
        <v>312.338304872908</v>
      </c>
      <c r="F50" s="1"/>
      <c r="G50" s="1"/>
      <c r="H50" s="1"/>
      <c r="I50" s="1"/>
      <c r="J50" s="1"/>
      <c r="K50" s="1"/>
    </row>
    <row r="51" spans="1:11" x14ac:dyDescent="0.25">
      <c r="A51" s="1"/>
      <c r="B51" s="35" t="s">
        <v>6</v>
      </c>
      <c r="C51" s="32">
        <f t="shared" ref="C51:C54" si="6">K26</f>
        <v>386.57717667981899</v>
      </c>
      <c r="D51" s="33">
        <f>(1+$C$43)^2</f>
        <v>1.2361623913484272</v>
      </c>
      <c r="E51" s="34">
        <f>C51/D51</f>
        <v>312.7236189883871</v>
      </c>
      <c r="F51" s="1"/>
      <c r="G51" s="1"/>
      <c r="H51" s="1"/>
      <c r="I51" s="1"/>
      <c r="J51" s="1"/>
      <c r="K51" s="1"/>
    </row>
    <row r="52" spans="1:11" x14ac:dyDescent="0.25">
      <c r="A52" s="1"/>
      <c r="B52" s="35" t="s">
        <v>7</v>
      </c>
      <c r="C52" s="32">
        <f t="shared" si="6"/>
        <v>430.33771307997461</v>
      </c>
      <c r="D52" s="33">
        <f>(1+$C$43)^3</f>
        <v>1.3744004538809078</v>
      </c>
      <c r="E52" s="34">
        <f t="shared" ref="E52:E54" si="7">C52/D52</f>
        <v>313.10940844411527</v>
      </c>
      <c r="F52" s="1"/>
      <c r="G52" s="1"/>
      <c r="H52" s="1"/>
      <c r="I52" s="1"/>
      <c r="J52" s="1"/>
      <c r="K52" s="1"/>
    </row>
    <row r="53" spans="1:11" x14ac:dyDescent="0.25">
      <c r="A53" s="1"/>
      <c r="B53" s="35" t="s">
        <v>8</v>
      </c>
      <c r="C53" s="32">
        <f t="shared" si="6"/>
        <v>494.88837004197057</v>
      </c>
      <c r="D53" s="33">
        <f>(1+$C$43)^4</f>
        <v>1.5280974577842621</v>
      </c>
      <c r="E53" s="34">
        <f t="shared" si="7"/>
        <v>323.85916717612866</v>
      </c>
      <c r="F53" s="1"/>
      <c r="G53" s="1"/>
      <c r="H53" s="1"/>
      <c r="I53" s="1"/>
      <c r="J53" s="1"/>
      <c r="K53" s="1"/>
    </row>
    <row r="54" spans="1:11" x14ac:dyDescent="0.25">
      <c r="A54" s="1"/>
      <c r="B54" s="35" t="s">
        <v>9</v>
      </c>
      <c r="C54" s="32">
        <f t="shared" si="6"/>
        <v>550.90973353072184</v>
      </c>
      <c r="D54" s="33">
        <f>(1+$C$43)^5</f>
        <v>1.6989821517397867</v>
      </c>
      <c r="E54" s="34">
        <f t="shared" si="7"/>
        <v>324.25869392835051</v>
      </c>
      <c r="F54" s="1"/>
      <c r="G54" s="1"/>
      <c r="H54" s="1"/>
      <c r="I54" s="1"/>
      <c r="J54" s="1"/>
      <c r="K54" s="1"/>
    </row>
    <row r="55" spans="1:11" x14ac:dyDescent="0.25">
      <c r="A55" s="1"/>
      <c r="F55" s="1"/>
      <c r="G55" s="1"/>
      <c r="H55" s="1"/>
      <c r="I55" s="1"/>
      <c r="J55" s="1"/>
      <c r="K55" s="1"/>
    </row>
    <row r="56" spans="1:11" s="24" customFormat="1" x14ac:dyDescent="0.25">
      <c r="A56" s="21"/>
      <c r="D56" s="77" t="s">
        <v>92</v>
      </c>
      <c r="E56" s="78">
        <f>SUM(E50:E54)</f>
        <v>1586.2891934098895</v>
      </c>
      <c r="F56" s="21"/>
      <c r="G56" s="21"/>
      <c r="H56" s="21"/>
      <c r="I56" s="21"/>
      <c r="J56" s="21"/>
      <c r="K56" s="21"/>
    </row>
    <row r="57" spans="1:11" x14ac:dyDescent="0.25">
      <c r="A57" s="1"/>
      <c r="F57" s="1"/>
      <c r="G57" s="1"/>
      <c r="H57" s="1"/>
      <c r="I57" s="1"/>
      <c r="J57" s="1"/>
      <c r="K57" s="1"/>
    </row>
    <row r="58" spans="1:11" x14ac:dyDescent="0.25">
      <c r="A58" s="1"/>
      <c r="F58" s="1"/>
      <c r="G58" s="1"/>
      <c r="H58" s="1"/>
      <c r="I58" s="1"/>
      <c r="J58" s="1"/>
      <c r="K58" s="1"/>
    </row>
    <row r="59" spans="1:11" x14ac:dyDescent="0.25">
      <c r="A59" s="1"/>
      <c r="F59" s="1"/>
      <c r="G59" s="1"/>
      <c r="H59" s="1"/>
      <c r="I59" s="1"/>
      <c r="J59" s="1"/>
      <c r="K59" s="1"/>
    </row>
    <row r="60" spans="1:11" x14ac:dyDescent="0.25">
      <c r="A60" s="1"/>
      <c r="F60" s="1"/>
      <c r="G60" s="1"/>
      <c r="H60" s="1"/>
      <c r="I60" s="1"/>
      <c r="J60" s="1"/>
      <c r="K60" s="1"/>
    </row>
    <row r="61" spans="1:11" x14ac:dyDescent="0.25">
      <c r="A61" s="1"/>
      <c r="F61" s="1"/>
      <c r="G61" s="1"/>
      <c r="H61" s="1"/>
      <c r="I61" s="1"/>
      <c r="J61" s="1"/>
      <c r="K61" s="1"/>
    </row>
    <row r="62" spans="1:11" x14ac:dyDescent="0.25">
      <c r="A62" s="1"/>
      <c r="F62" s="1"/>
      <c r="G62" s="1"/>
      <c r="H62" s="1"/>
      <c r="I62" s="1"/>
      <c r="J62" s="1"/>
      <c r="K62" s="1"/>
    </row>
    <row r="63" spans="1:11" x14ac:dyDescent="0.25">
      <c r="A63" s="1"/>
      <c r="F63" s="1"/>
      <c r="G63" s="1"/>
      <c r="H63" s="1"/>
      <c r="I63" s="1"/>
      <c r="J63" s="1"/>
      <c r="K63" s="1"/>
    </row>
    <row r="64" spans="1:11" x14ac:dyDescent="0.25">
      <c r="A64" s="1"/>
      <c r="F64" s="1"/>
      <c r="G64" s="1"/>
      <c r="H64" s="1"/>
      <c r="I64" s="1"/>
      <c r="J64" s="1"/>
      <c r="K64" s="1"/>
    </row>
    <row r="65" spans="1:11" x14ac:dyDescent="0.25">
      <c r="A65" s="1"/>
      <c r="F65" s="1"/>
      <c r="G65" s="1"/>
      <c r="H65" s="1"/>
      <c r="I65" s="1"/>
      <c r="J65" s="1"/>
      <c r="K65" s="1"/>
    </row>
    <row r="66" spans="1:11" x14ac:dyDescent="0.25">
      <c r="A66" s="1"/>
      <c r="F66" s="1"/>
      <c r="G66" s="1"/>
      <c r="H66" s="1"/>
      <c r="I66" s="1"/>
      <c r="J66" s="1"/>
      <c r="K66" s="1"/>
    </row>
  </sheetData>
  <mergeCells count="8">
    <mergeCell ref="G28:I28"/>
    <mergeCell ref="G29:I29"/>
    <mergeCell ref="C1:D1"/>
    <mergeCell ref="B22:D22"/>
    <mergeCell ref="G24:I24"/>
    <mergeCell ref="G25:I25"/>
    <mergeCell ref="G26:I26"/>
    <mergeCell ref="G27:I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ABD2-C104-46FF-B795-68A3B643999E}">
  <dimension ref="A1:I17"/>
  <sheetViews>
    <sheetView workbookViewId="0">
      <selection activeCell="C16" sqref="C16"/>
    </sheetView>
  </sheetViews>
  <sheetFormatPr defaultRowHeight="15" x14ac:dyDescent="0.25"/>
  <cols>
    <col min="1" max="1" width="9.28515625" style="60" customWidth="1"/>
    <col min="2" max="2" width="23" style="60" customWidth="1"/>
    <col min="3" max="3" width="11.85546875" style="60" customWidth="1"/>
    <col min="4" max="16384" width="9.140625" style="60"/>
  </cols>
  <sheetData>
    <row r="1" spans="1:9" ht="31.5" x14ac:dyDescent="0.5">
      <c r="A1" s="98" t="s">
        <v>80</v>
      </c>
      <c r="B1" s="98"/>
      <c r="C1" s="98"/>
    </row>
    <row r="3" spans="1:9" x14ac:dyDescent="0.25">
      <c r="A3" s="61" t="s">
        <v>40</v>
      </c>
      <c r="B3" s="61" t="s">
        <v>41</v>
      </c>
    </row>
    <row r="5" spans="1:9" x14ac:dyDescent="0.25">
      <c r="B5" s="54" t="s">
        <v>42</v>
      </c>
      <c r="C5" s="54" t="s">
        <v>43</v>
      </c>
    </row>
    <row r="6" spans="1:9" x14ac:dyDescent="0.25">
      <c r="B6" s="62" t="s">
        <v>0</v>
      </c>
      <c r="C6" s="66">
        <f>758.2+20.88</f>
        <v>779.08</v>
      </c>
      <c r="D6" s="60" t="s">
        <v>45</v>
      </c>
    </row>
    <row r="7" spans="1:9" x14ac:dyDescent="0.25">
      <c r="B7" s="62" t="s">
        <v>44</v>
      </c>
      <c r="C7" s="66">
        <v>20.88</v>
      </c>
      <c r="D7" s="60" t="s">
        <v>45</v>
      </c>
      <c r="I7" s="79"/>
    </row>
    <row r="8" spans="1:9" x14ac:dyDescent="0.25">
      <c r="B8" s="62" t="s">
        <v>46</v>
      </c>
      <c r="C8" s="62">
        <v>33.08</v>
      </c>
      <c r="D8" s="60" t="s">
        <v>45</v>
      </c>
      <c r="E8" s="71" t="s">
        <v>93</v>
      </c>
    </row>
    <row r="9" spans="1:9" x14ac:dyDescent="0.25">
      <c r="B9" s="62" t="s">
        <v>47</v>
      </c>
      <c r="C9" s="63">
        <v>0.20300000000000001</v>
      </c>
    </row>
    <row r="10" spans="1:9" x14ac:dyDescent="0.25">
      <c r="B10" s="62" t="s">
        <v>48</v>
      </c>
      <c r="C10" s="62">
        <v>200</v>
      </c>
      <c r="D10" s="60" t="s">
        <v>45</v>
      </c>
    </row>
    <row r="11" spans="1:9" x14ac:dyDescent="0.25">
      <c r="B11" s="62" t="s">
        <v>49</v>
      </c>
      <c r="C11" s="63">
        <v>3.8999999999999998E-3</v>
      </c>
    </row>
    <row r="13" spans="1:9" x14ac:dyDescent="0.25">
      <c r="A13" s="61" t="s">
        <v>50</v>
      </c>
      <c r="B13" s="61" t="s">
        <v>51</v>
      </c>
    </row>
    <row r="15" spans="1:9" ht="42.75" x14ac:dyDescent="0.25">
      <c r="B15" s="70" t="s">
        <v>52</v>
      </c>
      <c r="C15" s="70" t="s">
        <v>53</v>
      </c>
      <c r="D15" s="70" t="s">
        <v>54</v>
      </c>
      <c r="E15" s="70" t="s">
        <v>55</v>
      </c>
      <c r="F15" s="67" t="s">
        <v>56</v>
      </c>
    </row>
    <row r="16" spans="1:9" x14ac:dyDescent="0.25">
      <c r="B16" s="64" t="s">
        <v>57</v>
      </c>
      <c r="C16" s="66">
        <f>C6</f>
        <v>779.08</v>
      </c>
      <c r="D16" s="65">
        <v>0</v>
      </c>
      <c r="E16" s="65">
        <f>(C16-D16)*(1-C9)</f>
        <v>620.92675999999994</v>
      </c>
      <c r="F16" s="68">
        <f>E16/$C$8</f>
        <v>18.770458282950422</v>
      </c>
    </row>
    <row r="17" spans="2:6" x14ac:dyDescent="0.25">
      <c r="B17" s="64" t="s">
        <v>58</v>
      </c>
      <c r="C17" s="66">
        <v>700</v>
      </c>
      <c r="D17" s="66">
        <v>20.88</v>
      </c>
      <c r="E17" s="65">
        <f>(C17-D17)*(1-D9)</f>
        <v>679.12</v>
      </c>
      <c r="F17" s="68">
        <f>E17/$C$8</f>
        <v>20.529625151148732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6D0-DE7B-43F6-9FA4-90C1DBBA578C}">
  <dimension ref="A1:G25"/>
  <sheetViews>
    <sheetView workbookViewId="0">
      <selection activeCell="I9" sqref="I9"/>
    </sheetView>
  </sheetViews>
  <sheetFormatPr defaultRowHeight="15" x14ac:dyDescent="0.25"/>
  <cols>
    <col min="1" max="1" width="9.140625" style="60"/>
    <col min="2" max="2" width="28.42578125" style="60" customWidth="1"/>
    <col min="3" max="3" width="14.5703125" style="60" customWidth="1"/>
    <col min="4" max="4" width="16.28515625" style="60" customWidth="1"/>
    <col min="5" max="5" width="13.7109375" style="24" customWidth="1"/>
    <col min="6" max="6" width="14.7109375" style="24" customWidth="1"/>
    <col min="7" max="7" width="13.28515625" style="60" customWidth="1"/>
    <col min="8" max="16384" width="9.140625" style="60"/>
  </cols>
  <sheetData>
    <row r="1" spans="1:7" ht="31.5" x14ac:dyDescent="0.25">
      <c r="A1" s="3"/>
      <c r="B1" s="88"/>
      <c r="C1" s="101" t="s">
        <v>59</v>
      </c>
      <c r="D1" s="101"/>
      <c r="E1" s="27"/>
      <c r="F1" s="27"/>
      <c r="G1" s="24"/>
    </row>
    <row r="2" spans="1:7" s="24" customFormat="1" ht="15.75" x14ac:dyDescent="0.25">
      <c r="B2" s="90"/>
      <c r="C2" s="91" t="s">
        <v>94</v>
      </c>
      <c r="D2" s="91" t="s">
        <v>95</v>
      </c>
      <c r="E2" s="91" t="s">
        <v>99</v>
      </c>
      <c r="F2" s="91" t="s">
        <v>100</v>
      </c>
      <c r="G2" s="91" t="s">
        <v>104</v>
      </c>
    </row>
    <row r="3" spans="1:7" x14ac:dyDescent="0.25">
      <c r="B3" s="84" t="s">
        <v>60</v>
      </c>
      <c r="C3" s="89" t="s">
        <v>61</v>
      </c>
      <c r="D3" s="89" t="s">
        <v>61</v>
      </c>
      <c r="E3" s="89" t="s">
        <v>61</v>
      </c>
      <c r="F3" s="89" t="s">
        <v>61</v>
      </c>
      <c r="G3" s="89" t="s">
        <v>61</v>
      </c>
    </row>
    <row r="4" spans="1:7" x14ac:dyDescent="0.25">
      <c r="B4" s="74" t="s">
        <v>62</v>
      </c>
      <c r="C4" s="92">
        <v>5603.37</v>
      </c>
      <c r="D4" s="85">
        <v>4509.54</v>
      </c>
      <c r="E4" s="85">
        <v>4984.0600000000004</v>
      </c>
      <c r="F4" s="85">
        <v>4250.88</v>
      </c>
      <c r="G4" s="85">
        <v>4909</v>
      </c>
    </row>
    <row r="5" spans="1:7" x14ac:dyDescent="0.25">
      <c r="B5" s="74" t="s">
        <v>97</v>
      </c>
      <c r="C5" s="93">
        <v>2077.52</v>
      </c>
      <c r="D5" s="87">
        <v>1547.02</v>
      </c>
      <c r="E5" s="87">
        <v>1655.39</v>
      </c>
      <c r="F5" s="87">
        <v>1273.9000000000001</v>
      </c>
      <c r="G5" s="87">
        <v>1460.45</v>
      </c>
    </row>
    <row r="6" spans="1:7" x14ac:dyDescent="0.25">
      <c r="B6" s="74" t="s">
        <v>96</v>
      </c>
      <c r="C6" s="87">
        <v>1547.02</v>
      </c>
      <c r="D6" s="87">
        <v>1655.39</v>
      </c>
      <c r="E6" s="87">
        <v>1273.9000000000001</v>
      </c>
      <c r="F6" s="87">
        <v>1460.45</v>
      </c>
      <c r="G6" s="87"/>
    </row>
    <row r="7" spans="1:7" x14ac:dyDescent="0.25">
      <c r="B7" s="74" t="s">
        <v>63</v>
      </c>
      <c r="C7" s="93">
        <v>3873.24</v>
      </c>
      <c r="D7" s="87">
        <v>3129.96</v>
      </c>
      <c r="E7" s="87">
        <v>3519.23</v>
      </c>
      <c r="F7" s="87">
        <v>2888.01</v>
      </c>
      <c r="G7" s="87">
        <v>3307.48</v>
      </c>
    </row>
    <row r="8" spans="1:7" x14ac:dyDescent="0.25">
      <c r="B8" s="74" t="s">
        <v>102</v>
      </c>
      <c r="C8" s="80">
        <v>1502.71</v>
      </c>
      <c r="D8" s="80">
        <v>1404.69</v>
      </c>
      <c r="E8" s="80">
        <v>1486.26</v>
      </c>
      <c r="F8" s="80">
        <v>1442.11</v>
      </c>
      <c r="G8" s="87"/>
    </row>
    <row r="9" spans="1:7" x14ac:dyDescent="0.25">
      <c r="B9" s="74" t="s">
        <v>103</v>
      </c>
      <c r="C9" s="86">
        <v>2467.0650000000001</v>
      </c>
      <c r="D9" s="87">
        <v>2445.9050000000002</v>
      </c>
      <c r="E9" s="87">
        <v>2369.9299999999998</v>
      </c>
      <c r="F9" s="87">
        <v>2317.87</v>
      </c>
      <c r="G9" s="87">
        <v>1288.95</v>
      </c>
    </row>
    <row r="10" spans="1:7" x14ac:dyDescent="0.25">
      <c r="B10" s="74" t="s">
        <v>24</v>
      </c>
      <c r="C10" s="92">
        <v>8987.76</v>
      </c>
      <c r="D10" s="87">
        <v>7570.31</v>
      </c>
      <c r="E10" s="87">
        <v>6989.83</v>
      </c>
      <c r="F10" s="87">
        <v>6251.65</v>
      </c>
      <c r="G10" s="87">
        <v>7172.18</v>
      </c>
    </row>
    <row r="11" spans="1:7" x14ac:dyDescent="0.25">
      <c r="B11" s="74" t="s">
        <v>98</v>
      </c>
      <c r="C11" s="93">
        <f>C5-C6+6892.59</f>
        <v>7423.09</v>
      </c>
      <c r="D11" s="93">
        <f>D5-D6+6112.33</f>
        <v>6003.96</v>
      </c>
      <c r="E11" s="93">
        <f>E5-E6+5371.3</f>
        <v>5752.79</v>
      </c>
      <c r="F11" s="93">
        <f>F5-F6+4759.23</f>
        <v>4572.6799999999994</v>
      </c>
      <c r="G11" s="93">
        <f t="shared" ref="G11" si="0">G5-G6+6892.59</f>
        <v>8353.0400000000009</v>
      </c>
    </row>
    <row r="12" spans="1:7" x14ac:dyDescent="0.25">
      <c r="B12" s="83" t="s">
        <v>64</v>
      </c>
      <c r="C12" s="94">
        <f>(C8/C10)*365</f>
        <v>61.026234567901234</v>
      </c>
      <c r="D12" s="94">
        <f>(D8/D10)*365</f>
        <v>67.726665090333157</v>
      </c>
      <c r="E12" s="94">
        <f t="shared" ref="E12:F12" si="1">(E8/E10)*365</f>
        <v>77.610599971673125</v>
      </c>
      <c r="F12" s="94">
        <f t="shared" si="1"/>
        <v>84.196995993057826</v>
      </c>
      <c r="G12" s="94"/>
    </row>
    <row r="13" spans="1:7" x14ac:dyDescent="0.25">
      <c r="B13" s="83" t="s">
        <v>65</v>
      </c>
      <c r="C13" s="95">
        <f>(((C6+C5)/2)/C11)*365</f>
        <v>89.11094301699157</v>
      </c>
      <c r="D13" s="95">
        <f t="shared" ref="D13:F13" si="2">(((D6+D5)/2)/D11)*365</f>
        <v>97.342391521595744</v>
      </c>
      <c r="E13" s="95">
        <f t="shared" si="2"/>
        <v>92.928027096417566</v>
      </c>
      <c r="F13" s="95">
        <f t="shared" si="2"/>
        <v>109.13050443066213</v>
      </c>
      <c r="G13" s="92"/>
    </row>
    <row r="14" spans="1:7" x14ac:dyDescent="0.25">
      <c r="B14" s="83" t="s">
        <v>66</v>
      </c>
      <c r="C14" s="95">
        <f>((C9/C11)*365)</f>
        <v>121.30780106397741</v>
      </c>
      <c r="D14" s="95">
        <f t="shared" ref="D14:F14" si="3">((D9/D11)*365)</f>
        <v>148.69441585220423</v>
      </c>
      <c r="E14" s="95">
        <f t="shared" si="3"/>
        <v>150.36607454817576</v>
      </c>
      <c r="F14" s="95">
        <f t="shared" si="3"/>
        <v>185.01678446775199</v>
      </c>
      <c r="G14" s="92"/>
    </row>
    <row r="15" spans="1:7" x14ac:dyDescent="0.25">
      <c r="B15" s="83" t="s">
        <v>67</v>
      </c>
      <c r="C15" s="96">
        <f>(C12+C13-C14)</f>
        <v>28.829376520915403</v>
      </c>
      <c r="D15" s="96">
        <f t="shared" ref="D15:F15" si="4">(D12+D13-D14)</f>
        <v>16.374640759724656</v>
      </c>
      <c r="E15" s="96">
        <f t="shared" si="4"/>
        <v>20.172552519914944</v>
      </c>
      <c r="F15" s="96">
        <f t="shared" si="4"/>
        <v>8.3107159559679644</v>
      </c>
      <c r="G15" s="74"/>
    </row>
    <row r="16" spans="1:7" x14ac:dyDescent="0.25">
      <c r="B16" s="81"/>
      <c r="C16" s="82"/>
      <c r="D16" s="82"/>
      <c r="E16" s="82"/>
      <c r="F16" s="82"/>
    </row>
    <row r="17" spans="2:6" x14ac:dyDescent="0.25">
      <c r="B17" s="55" t="s">
        <v>68</v>
      </c>
      <c r="C17" s="80">
        <f>(C4-C7)</f>
        <v>1730.13</v>
      </c>
      <c r="D17" s="62">
        <f>(D4-D7)</f>
        <v>1379.58</v>
      </c>
      <c r="E17" s="62">
        <f t="shared" ref="E17:F17" si="5">(E4-E7)</f>
        <v>1464.8300000000004</v>
      </c>
      <c r="F17" s="62">
        <f t="shared" si="5"/>
        <v>1362.87</v>
      </c>
    </row>
    <row r="18" spans="2:6" x14ac:dyDescent="0.25">
      <c r="B18" s="56" t="s">
        <v>69</v>
      </c>
      <c r="C18" s="57">
        <f>(C4/C7)</f>
        <v>1.4466880441181027</v>
      </c>
      <c r="D18" s="57">
        <f>(D4/D7)</f>
        <v>1.4407660161791205</v>
      </c>
      <c r="E18" s="57">
        <f t="shared" ref="E18:F18" si="6">(E4/E7)</f>
        <v>1.4162359379750684</v>
      </c>
      <c r="F18" s="57">
        <f t="shared" si="6"/>
        <v>1.4719062607123936</v>
      </c>
    </row>
    <row r="19" spans="2:6" x14ac:dyDescent="0.25">
      <c r="B19" s="58" t="s">
        <v>70</v>
      </c>
      <c r="C19" s="57">
        <f>(C4-C5)/C7</f>
        <v>0.9103102312276028</v>
      </c>
      <c r="D19" s="57">
        <f>(D4-D5)/D7</f>
        <v>0.94650410867870516</v>
      </c>
      <c r="E19" s="57">
        <f t="shared" ref="E19:F19" si="7">(E4-E5)/E7</f>
        <v>0.94585179144301457</v>
      </c>
      <c r="F19" s="57">
        <f t="shared" si="7"/>
        <v>1.0308066800322713</v>
      </c>
    </row>
    <row r="22" spans="2:6" x14ac:dyDescent="0.25">
      <c r="B22" s="71" t="s">
        <v>105</v>
      </c>
      <c r="D22" s="71" t="s">
        <v>108</v>
      </c>
    </row>
    <row r="23" spans="2:6" x14ac:dyDescent="0.25">
      <c r="B23" s="71" t="s">
        <v>101</v>
      </c>
      <c r="D23" s="71" t="s">
        <v>109</v>
      </c>
    </row>
    <row r="24" spans="2:6" x14ac:dyDescent="0.25">
      <c r="B24" s="71" t="s">
        <v>106</v>
      </c>
      <c r="D24" s="71" t="s">
        <v>110</v>
      </c>
    </row>
    <row r="25" spans="2:6" x14ac:dyDescent="0.25">
      <c r="B25" s="71" t="s">
        <v>107</v>
      </c>
    </row>
  </sheetData>
  <mergeCells count="1">
    <mergeCell ref="C1:D1"/>
  </mergeCells>
  <pageMargins left="0.7" right="0.7" top="0.75" bottom="0.75" header="0.3" footer="0.3"/>
  <ignoredErrors>
    <ignoredError sqref="D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1AC8-A026-45C3-93CD-8A5A3EC51F01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8.85546875" style="60" customWidth="1"/>
    <col min="2" max="2" width="20.5703125" style="60" customWidth="1"/>
    <col min="3" max="3" width="30.42578125" style="60" customWidth="1"/>
    <col min="4" max="4" width="25.28515625" style="60" customWidth="1"/>
    <col min="5" max="16384" width="9.140625" style="60"/>
  </cols>
  <sheetData>
    <row r="1" spans="1:4" ht="15" customHeight="1" x14ac:dyDescent="0.25">
      <c r="A1" s="102" t="s">
        <v>71</v>
      </c>
      <c r="B1" s="102"/>
      <c r="C1" s="102"/>
    </row>
    <row r="2" spans="1:4" x14ac:dyDescent="0.25">
      <c r="A2" s="103"/>
      <c r="B2" s="103"/>
      <c r="C2" s="103"/>
    </row>
    <row r="3" spans="1:4" x14ac:dyDescent="0.25">
      <c r="A3" s="59" t="s">
        <v>37</v>
      </c>
      <c r="B3" s="59" t="s">
        <v>78</v>
      </c>
      <c r="C3" s="59" t="s">
        <v>72</v>
      </c>
      <c r="D3" s="59" t="s">
        <v>79</v>
      </c>
    </row>
    <row r="4" spans="1:4" x14ac:dyDescent="0.25">
      <c r="A4" s="62" t="s">
        <v>73</v>
      </c>
      <c r="B4" s="69">
        <v>132.32</v>
      </c>
      <c r="C4" s="69">
        <v>595.09</v>
      </c>
      <c r="D4" s="62">
        <f>ROUND(B4/C4,3)*100</f>
        <v>22.2</v>
      </c>
    </row>
    <row r="5" spans="1:4" x14ac:dyDescent="0.25">
      <c r="A5" s="62" t="s">
        <v>74</v>
      </c>
      <c r="B5" s="69">
        <v>132.32</v>
      </c>
      <c r="C5" s="69">
        <v>570.29999999999995</v>
      </c>
      <c r="D5" s="62">
        <f>ROUND(B5/C5,3)*100</f>
        <v>23.200000000000003</v>
      </c>
    </row>
    <row r="6" spans="1:4" x14ac:dyDescent="0.25">
      <c r="A6" s="62" t="s">
        <v>75</v>
      </c>
      <c r="B6" s="69">
        <v>165.44</v>
      </c>
      <c r="C6" s="69">
        <v>583.47</v>
      </c>
      <c r="D6" s="62">
        <f t="shared" ref="D6:D8" si="0">ROUND(B6/C6,3)*100</f>
        <v>28.4</v>
      </c>
    </row>
    <row r="7" spans="1:4" x14ac:dyDescent="0.25">
      <c r="A7" s="62" t="s">
        <v>76</v>
      </c>
      <c r="B7" s="69">
        <v>181.99</v>
      </c>
      <c r="C7" s="69">
        <v>1405.31</v>
      </c>
      <c r="D7" s="62">
        <f t="shared" si="0"/>
        <v>13</v>
      </c>
    </row>
    <row r="8" spans="1:4" x14ac:dyDescent="0.25">
      <c r="A8" s="62" t="s">
        <v>77</v>
      </c>
      <c r="B8" s="69">
        <v>140.63</v>
      </c>
      <c r="C8" s="69">
        <v>604.26</v>
      </c>
      <c r="D8" s="62">
        <f t="shared" si="0"/>
        <v>23.3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Projection</vt:lpstr>
      <vt:lpstr>EBIT-EPS Analysis</vt:lpstr>
      <vt:lpstr>Working Capital Analysis</vt:lpstr>
      <vt:lpstr>Dividend Policy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Gupta</dc:creator>
  <cp:lastModifiedBy>Srishti Gupta</cp:lastModifiedBy>
  <dcterms:created xsi:type="dcterms:W3CDTF">2025-04-07T03:45:01Z</dcterms:created>
  <dcterms:modified xsi:type="dcterms:W3CDTF">2025-04-24T09:01:26Z</dcterms:modified>
</cp:coreProperties>
</file>