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"/>
    </mc:Choice>
  </mc:AlternateContent>
  <bookViews>
    <workbookView xWindow="-120" yWindow="-120" windowWidth="29040" windowHeight="15720"/>
  </bookViews>
  <sheets>
    <sheet name="Sheet1" sheetId="1" r:id="rId1"/>
    <sheet name="Sheet2" sheetId="5" r:id="rId2"/>
    <sheet name="TMT" sheetId="2" r:id="rId3"/>
    <sheet name="Cement" sheetId="3" r:id="rId4"/>
    <sheet name="Diesel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4" i="1" l="1"/>
  <c r="G84" i="1"/>
  <c r="S133" i="1"/>
  <c r="J84" i="1" l="1"/>
  <c r="M84" i="1"/>
  <c r="H84" i="1"/>
  <c r="N84" i="1" s="1"/>
  <c r="K84" i="1"/>
  <c r="O133" i="1"/>
  <c r="N141" i="1" s="1"/>
  <c r="P133" i="1"/>
  <c r="I84" i="1" l="1"/>
  <c r="Q84" i="1" s="1"/>
  <c r="E11" i="5"/>
  <c r="I154" i="1"/>
  <c r="H154" i="1"/>
  <c r="J154" i="1" l="1"/>
  <c r="U30" i="1"/>
  <c r="U27" i="1"/>
  <c r="U24" i="1"/>
  <c r="G107" i="1" l="1"/>
  <c r="L107" i="1" s="1"/>
  <c r="J107" i="1" l="1"/>
  <c r="M107" i="1"/>
  <c r="K107" i="1"/>
  <c r="H107" i="1"/>
  <c r="G39" i="1"/>
  <c r="M39" i="1" s="1"/>
  <c r="L39" i="1" l="1"/>
  <c r="N107" i="1"/>
  <c r="I107" i="1"/>
  <c r="Q107" i="1" s="1"/>
  <c r="J39" i="1"/>
  <c r="K39" i="1"/>
  <c r="H39" i="1"/>
  <c r="Q39" i="1" l="1"/>
  <c r="N39" i="1"/>
  <c r="N142" i="1" s="1"/>
  <c r="I39" i="1"/>
  <c r="F118" i="1" l="1"/>
  <c r="G118" i="1" s="1"/>
  <c r="M118" i="1" l="1"/>
  <c r="H118" i="1"/>
  <c r="N118" i="1" s="1"/>
  <c r="E119" i="1" s="1"/>
  <c r="Q119" i="1" s="1"/>
  <c r="L118" i="1"/>
  <c r="K118" i="1"/>
  <c r="J118" i="1"/>
  <c r="I118" i="1"/>
  <c r="Q118" i="1" l="1"/>
  <c r="G87" i="1"/>
  <c r="K87" i="1" s="1"/>
  <c r="L87" i="1" l="1"/>
  <c r="H87" i="1"/>
  <c r="N87" i="1" s="1"/>
  <c r="E89" i="1" s="1"/>
  <c r="Q89" i="1" s="1"/>
  <c r="M87" i="1"/>
  <c r="J87" i="1"/>
  <c r="I87" i="1" l="1"/>
  <c r="Q87" i="1" s="1"/>
  <c r="F10" i="3"/>
  <c r="F9" i="3"/>
  <c r="F8" i="3"/>
  <c r="F7" i="3"/>
  <c r="H7" i="3" s="1"/>
  <c r="F6" i="3"/>
  <c r="F5" i="3"/>
  <c r="F4" i="3"/>
  <c r="F3" i="3"/>
  <c r="I3" i="3" s="1"/>
  <c r="F2" i="3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3" i="4"/>
  <c r="H12" i="4"/>
  <c r="H11" i="4"/>
  <c r="H10" i="4"/>
  <c r="H9" i="4"/>
  <c r="H8" i="4"/>
  <c r="H7" i="4"/>
  <c r="H6" i="4"/>
  <c r="H5" i="4"/>
  <c r="H4" i="4"/>
  <c r="H3" i="4"/>
  <c r="H2" i="4"/>
  <c r="G123" i="1"/>
  <c r="G116" i="1"/>
  <c r="F111" i="1"/>
  <c r="G111" i="1" s="1"/>
  <c r="G105" i="1"/>
  <c r="H105" i="1" l="1"/>
  <c r="N105" i="1" s="1"/>
  <c r="L105" i="1"/>
  <c r="L111" i="1"/>
  <c r="M111" i="1"/>
  <c r="J111" i="1"/>
  <c r="H111" i="1"/>
  <c r="N111" i="1" s="1"/>
  <c r="E112" i="1" s="1"/>
  <c r="Q112" i="1" s="1"/>
  <c r="K111" i="1"/>
  <c r="M105" i="1"/>
  <c r="J105" i="1"/>
  <c r="M116" i="1"/>
  <c r="L116" i="1"/>
  <c r="K105" i="1"/>
  <c r="M123" i="1"/>
  <c r="L123" i="1"/>
  <c r="H5" i="3"/>
  <c r="H9" i="3"/>
  <c r="I5" i="3"/>
  <c r="J5" i="3" s="1"/>
  <c r="I7" i="3"/>
  <c r="J7" i="3" s="1"/>
  <c r="J3" i="3"/>
  <c r="H4" i="3"/>
  <c r="H10" i="3"/>
  <c r="I2" i="3"/>
  <c r="J2" i="3" s="1"/>
  <c r="I4" i="3"/>
  <c r="J4" i="3" s="1"/>
  <c r="I6" i="3"/>
  <c r="J6" i="3" s="1"/>
  <c r="I8" i="3"/>
  <c r="J8" i="3" s="1"/>
  <c r="I10" i="3"/>
  <c r="J10" i="3" s="1"/>
  <c r="H3" i="3"/>
  <c r="I9" i="3"/>
  <c r="J9" i="3" s="1"/>
  <c r="H2" i="3"/>
  <c r="H6" i="3"/>
  <c r="H8" i="3"/>
  <c r="H123" i="1"/>
  <c r="N123" i="1" s="1"/>
  <c r="E124" i="1" s="1"/>
  <c r="Q124" i="1" s="1"/>
  <c r="J123" i="1"/>
  <c r="K123" i="1"/>
  <c r="H116" i="1"/>
  <c r="N116" i="1" s="1"/>
  <c r="E117" i="1" s="1"/>
  <c r="Q117" i="1" s="1"/>
  <c r="J116" i="1"/>
  <c r="K116" i="1"/>
  <c r="F104" i="1"/>
  <c r="G104" i="1" s="1"/>
  <c r="H104" i="1" s="1"/>
  <c r="I105" i="1" l="1"/>
  <c r="Q105" i="1" s="1"/>
  <c r="I111" i="1"/>
  <c r="Q111" i="1" s="1"/>
  <c r="U115" i="1" s="1"/>
  <c r="I123" i="1"/>
  <c r="Q123" i="1" s="1"/>
  <c r="U125" i="1" s="1"/>
  <c r="I116" i="1"/>
  <c r="Q116" i="1" s="1"/>
  <c r="U122" i="1" s="1"/>
  <c r="K104" i="1"/>
  <c r="J104" i="1"/>
  <c r="M104" i="1"/>
  <c r="L104" i="1"/>
  <c r="N104" i="1"/>
  <c r="E106" i="1" l="1"/>
  <c r="Q106" i="1" s="1"/>
  <c r="I104" i="1"/>
  <c r="Q104" i="1" s="1"/>
  <c r="U110" i="1" l="1"/>
  <c r="F97" i="1"/>
  <c r="G97" i="1" s="1"/>
  <c r="H97" i="1" s="1"/>
  <c r="K97" i="1" l="1"/>
  <c r="J97" i="1"/>
  <c r="M97" i="1"/>
  <c r="L97" i="1"/>
  <c r="N97" i="1"/>
  <c r="E98" i="1" s="1"/>
  <c r="Q98" i="1" s="1"/>
  <c r="I150" i="1" s="1"/>
  <c r="I97" i="1" l="1"/>
  <c r="Q97" i="1" s="1"/>
  <c r="U103" i="1" s="1"/>
  <c r="E92" i="1" l="1"/>
  <c r="G92" i="1" s="1"/>
  <c r="H92" i="1" s="1"/>
  <c r="E93" i="1" s="1"/>
  <c r="K92" i="1" l="1"/>
  <c r="J92" i="1"/>
  <c r="I92" i="1"/>
  <c r="N92" i="1"/>
  <c r="Q93" i="1" s="1"/>
  <c r="E18" i="1"/>
  <c r="G18" i="1" s="1"/>
  <c r="H18" i="1" s="1"/>
  <c r="Q92" i="1" l="1"/>
  <c r="U96" i="1" s="1"/>
  <c r="K18" i="1"/>
  <c r="J18" i="1"/>
  <c r="N18" i="1"/>
  <c r="E19" i="1" s="1"/>
  <c r="Q19" i="1" s="1"/>
  <c r="E11" i="1"/>
  <c r="G11" i="1" s="1"/>
  <c r="H11" i="1" l="1"/>
  <c r="I18" i="1"/>
  <c r="Q18" i="1" s="1"/>
  <c r="U21" i="1" s="1"/>
  <c r="K11" i="1"/>
  <c r="J11" i="1"/>
  <c r="E12" i="1" l="1"/>
  <c r="N11" i="1"/>
  <c r="I11" i="1"/>
  <c r="Q11" i="1" s="1"/>
  <c r="Q12" i="1" l="1"/>
  <c r="G86" i="1"/>
  <c r="M86" i="1" s="1"/>
  <c r="G72" i="1"/>
  <c r="K72" i="1" s="1"/>
  <c r="G37" i="1"/>
  <c r="H72" i="1" l="1"/>
  <c r="N72" i="1" s="1"/>
  <c r="E73" i="1" s="1"/>
  <c r="Q73" i="1" s="1"/>
  <c r="L72" i="1"/>
  <c r="M72" i="1"/>
  <c r="J72" i="1"/>
  <c r="H86" i="1"/>
  <c r="N86" i="1" s="1"/>
  <c r="E88" i="1" s="1"/>
  <c r="Q88" i="1" s="1"/>
  <c r="I148" i="1" s="1"/>
  <c r="I152" i="1" s="1"/>
  <c r="J86" i="1"/>
  <c r="K86" i="1"/>
  <c r="L86" i="1"/>
  <c r="H37" i="1"/>
  <c r="N37" i="1" s="1"/>
  <c r="E38" i="1" s="1"/>
  <c r="Q38" i="1" s="1"/>
  <c r="J37" i="1"/>
  <c r="K37" i="1"/>
  <c r="L37" i="1"/>
  <c r="M37" i="1"/>
  <c r="G58" i="1"/>
  <c r="K58" i="1" s="1"/>
  <c r="G57" i="1"/>
  <c r="J57" i="1" s="1"/>
  <c r="G56" i="1"/>
  <c r="I56" i="1" s="1"/>
  <c r="Q56" i="1" s="1"/>
  <c r="G55" i="1"/>
  <c r="I54" i="1"/>
  <c r="Q54" i="1" s="1"/>
  <c r="F52" i="1"/>
  <c r="G52" i="1" s="1"/>
  <c r="H52" i="1" s="1"/>
  <c r="J55" i="1" l="1"/>
  <c r="H55" i="1"/>
  <c r="N55" i="1" s="1"/>
  <c r="I86" i="1"/>
  <c r="I72" i="1"/>
  <c r="I37" i="1"/>
  <c r="Q72" i="1"/>
  <c r="U79" i="1" s="1"/>
  <c r="Q86" i="1"/>
  <c r="U91" i="1" s="1"/>
  <c r="Q37" i="1"/>
  <c r="U45" i="1" s="1"/>
  <c r="H58" i="1"/>
  <c r="N58" i="1" s="1"/>
  <c r="M52" i="1"/>
  <c r="L52" i="1"/>
  <c r="N52" i="1"/>
  <c r="E53" i="1" s="1"/>
  <c r="G53" i="1" s="1"/>
  <c r="I53" i="1" s="1"/>
  <c r="Q53" i="1" s="1"/>
  <c r="K52" i="1"/>
  <c r="J52" i="1"/>
  <c r="K55" i="1"/>
  <c r="K57" i="1"/>
  <c r="L55" i="1"/>
  <c r="H57" i="1"/>
  <c r="N57" i="1" s="1"/>
  <c r="M55" i="1"/>
  <c r="J58" i="1"/>
  <c r="E59" i="1" l="1"/>
  <c r="Q59" i="1" s="1"/>
  <c r="I58" i="1"/>
  <c r="Q58" i="1" s="1"/>
  <c r="I57" i="1"/>
  <c r="Q57" i="1" s="1"/>
  <c r="I55" i="1"/>
  <c r="Q55" i="1" s="1"/>
  <c r="I52" i="1"/>
  <c r="Q52" i="1" s="1"/>
  <c r="U67" i="1" l="1"/>
  <c r="F81" i="1"/>
  <c r="G81" i="1" s="1"/>
  <c r="H81" i="1" s="1"/>
  <c r="G80" i="1"/>
  <c r="L80" i="1" l="1"/>
  <c r="H80" i="1"/>
  <c r="M80" i="1"/>
  <c r="L81" i="1"/>
  <c r="N81" i="1"/>
  <c r="E83" i="1" s="1"/>
  <c r="Q83" i="1" s="1"/>
  <c r="J81" i="1"/>
  <c r="K81" i="1"/>
  <c r="M81" i="1"/>
  <c r="K80" i="1"/>
  <c r="J80" i="1"/>
  <c r="G48" i="1"/>
  <c r="K48" i="1" l="1"/>
  <c r="H48" i="1"/>
  <c r="N48" i="1" s="1"/>
  <c r="E49" i="1" s="1"/>
  <c r="Q49" i="1" s="1"/>
  <c r="J48" i="1"/>
  <c r="L48" i="1"/>
  <c r="M48" i="1"/>
  <c r="I81" i="1"/>
  <c r="Q81" i="1" s="1"/>
  <c r="N80" i="1"/>
  <c r="E82" i="1" s="1"/>
  <c r="Q82" i="1" s="1"/>
  <c r="I80" i="1"/>
  <c r="Q80" i="1" l="1"/>
  <c r="U85" i="1" s="1"/>
  <c r="I48" i="1"/>
  <c r="Q48" i="1" s="1"/>
  <c r="U51" i="1" s="1"/>
  <c r="G14" i="1" l="1"/>
  <c r="L14" i="1" l="1"/>
  <c r="L133" i="1" s="1"/>
  <c r="H14" i="1"/>
  <c r="J14" i="1"/>
  <c r="M14" i="1"/>
  <c r="M133" i="1" s="1"/>
  <c r="K14" i="1"/>
  <c r="K133" i="1" s="1"/>
  <c r="N14" i="1" l="1"/>
  <c r="N133" i="1" s="1"/>
  <c r="H133" i="1"/>
  <c r="N139" i="1"/>
  <c r="I14" i="1"/>
  <c r="Q14" i="1" l="1"/>
  <c r="U17" i="1" s="1"/>
  <c r="J15" i="1"/>
  <c r="J133" i="1" s="1"/>
  <c r="G13" i="1" l="1"/>
  <c r="G133" i="1" s="1"/>
  <c r="G136" i="1" s="1"/>
  <c r="I13" i="1" l="1"/>
  <c r="Q13" i="1" l="1"/>
  <c r="U14" i="1" s="1"/>
  <c r="U133" i="1" s="1"/>
  <c r="Q133" i="1" l="1"/>
  <c r="S134" i="1" s="1"/>
  <c r="N140" i="1" s="1"/>
</calcChain>
</file>

<file path=xl/sharedStrings.xml><?xml version="1.0" encoding="utf-8"?>
<sst xmlns="http://schemas.openxmlformats.org/spreadsheetml/2006/main" count="505" uniqueCount="296">
  <si>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</si>
  <si>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</si>
  <si>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</si>
  <si>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</si>
  <si>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</si>
  <si>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</si>
  <si>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</si>
  <si>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</si>
  <si>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</si>
  <si>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</si>
  <si>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</si>
  <si>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</si>
  <si>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</si>
  <si>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</si>
  <si>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</si>
  <si>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</si>
  <si>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Pipe Laying work</t>
  </si>
  <si>
    <t>On Commissioning</t>
  </si>
  <si>
    <t>Hydro Testing</t>
  </si>
  <si>
    <t>Hold the Amount because the Qty. is more then the DPR</t>
  </si>
  <si>
    <t>A P Enterprises</t>
  </si>
  <si>
    <t>GST Release Note</t>
  </si>
  <si>
    <t>06-06-2023 NEFT/AXISP00395970528/RIUP23/536/A P ENTERPRISES 198000.00</t>
  </si>
  <si>
    <t>06-06-2023 NEFT/AXISP00395970529/RIUP23/535/A P ENTERPRISES 198000.00</t>
  </si>
  <si>
    <t>25-05-2023 NEFT/AXISP00392601989/RIUP23/396/A P ENTERPRISES 99000.00</t>
  </si>
  <si>
    <t>23-05-2023 NEFT/AXISP00392088476/RIUP23/355/A P ENTERPRISES 99000.00</t>
  </si>
  <si>
    <t>23-05-2023 NEFT/AXISP00392088475/RIUP23/354/A P ENTERPRISES 99000.00</t>
  </si>
  <si>
    <t>25-05-2023 NEFT/AXISP00392601988/RIUP23/395/A P ENTERPRISES 99000.00</t>
  </si>
  <si>
    <t xml:space="preserve">Kedi Dhudha Dhari Village Pipe laying work </t>
  </si>
  <si>
    <t>06-01-2023 NEFT/AXISP00352522093/RIUP22/1797/A P ENTERPRISES 352575.00</t>
  </si>
  <si>
    <t>GST release note</t>
  </si>
  <si>
    <t>21-01-2023 NEFT/AXISP00356444712/RIUP22/1906/A P ENTERPRISES ₹ 96,252.00</t>
  </si>
  <si>
    <t>23-01-2023 NEFT/AXISP00356693749/RIUP22/1957/A P ENTERPRISES ₹ 1,98,000.00</t>
  </si>
  <si>
    <t>08-02-2023 NEFT/AXISP00361822157/RIUP22/2121/A P ENTERPRISES 157909.00</t>
  </si>
  <si>
    <t>13-04-2023 13-04-2023 NEFT/AXISP00381797403/SPUP23/0121/A P ENTERPRISES 198000.00</t>
  </si>
  <si>
    <t>02-05-2023 NEFT/AXISP00386671975/RIUP23/056/A P ENTERPRISES ₹ 42,112.00</t>
  </si>
  <si>
    <t>21-06-2023 NEFT/AXISP00399842955/RIUP23/747/A P ENTERPRISES 54709.00</t>
  </si>
  <si>
    <t xml:space="preserve">Pachenda Khurd Village Pipe laying work </t>
  </si>
  <si>
    <t>08-11-2022 NEFT/AXISP00335609453/RIUP22/1208/A P ENTERPRISES 148500.00</t>
  </si>
  <si>
    <t>07-01-2023 NEFT/AXISP00353064335/RIUP22/1742/A P ENTERPRISES 180446.00</t>
  </si>
  <si>
    <t>18-01-2023 NEFT/AXISP00355697030/RIUP22/1883/A P ENTERPRISES ₹ 1,32,594.00</t>
  </si>
  <si>
    <t>23-01-2023 NEFT/AXISP00356620188/RIUP22/1937/A P ENTERPRISES ₹ 1,98,000.00</t>
  </si>
  <si>
    <t>14-03-2023 NEFT/AXISP00371304701/RIUP22/2570/A P ENTERPRISES 99000.00</t>
  </si>
  <si>
    <t>13-04-2023 13-04-2023 NEFT/AXISP00381797402/SPUP23/0120/A P ENTERPRISES 148500.00</t>
  </si>
  <si>
    <t>21-06-2023 NEFT/AXISP00399842954/RIUP23/748/A P ENTERPRISES 83036.00</t>
  </si>
  <si>
    <t>06-01-2023 NEFT/AXISP00352522094/RIUP22/1791/A P ENTERPRISES 200000.00</t>
  </si>
  <si>
    <t>23-01-2023 NEFT/AXISP00356693741/RIUP22/1907/A P ENTERPRISES ₹ 80,791.00</t>
  </si>
  <si>
    <t>06-03-2023 NEFT/AXISP00369190886/RIUP22/2484/A P ENTERPRISES 98191.00</t>
  </si>
  <si>
    <t>28-07-2023 NEFT/AXISP00410084836/RIUP23/1264/A P ENTERPRISES 198000.00</t>
  </si>
  <si>
    <t>BHaisani Village Pipe laying work.</t>
  </si>
  <si>
    <t>21-02-2023 NEFT/AXISP00364594735/RIUP22/2235/A P ENTERPRISES 101844.00</t>
  </si>
  <si>
    <t>Pancheda Kallan Village Pipe laying work.</t>
  </si>
  <si>
    <t>20-10-2022 NEFT/AXISP00330252341/RIUP22/1062/A P ENTERPRISES 495000.00</t>
  </si>
  <si>
    <t>22-11-2022 NEFT/AXISP00339521128/RIUP22/1311/A P ENTERPRISES 534908.00</t>
  </si>
  <si>
    <t>03-12-2022 NEFT/AXISP00343125334/RIUP22/1399/A P ENTERPRISES 450000.00</t>
  </si>
  <si>
    <t>21-12-2022 NEFT/AXISP00347813404/RIUP22/1593/A P ENTERPRISES 352396.00</t>
  </si>
  <si>
    <t>18-01-2023 NEFT/AXISP00355710810/RIUP22/1897/A P ENTERPRISES ₹ 1,98,000.00</t>
  </si>
  <si>
    <t>23-02-2023 NEFT/AXISP00365243860/RIUP22/2284/A P ENTERPRISES 495000.00</t>
  </si>
  <si>
    <t>13-04-2023 NEFT/AXISP00381797401/SPUP23/0119/A P ENTERPRISES 49500.00</t>
  </si>
  <si>
    <t>10-05-2023 10-05-2023 NEFT/AXISP00389200590/SPUP23/0300/A P ENTERPRISES 19413.00</t>
  </si>
  <si>
    <t>12-05-2023 NEFT/AXISP00389894115/RIUP23/202/A P ENTERPRISES 185330.00</t>
  </si>
  <si>
    <t>15-06-2023 NEFT/AXISP00398797334/RIUP23/681/A P ENTERPRISES 198000.00</t>
  </si>
  <si>
    <t>24-08-2023 NEFT/AXISP00418043570/RIUP23/1686/A P ENTERPRISES/IDIB000M779 196000.00</t>
  </si>
  <si>
    <t>Bhoop Khedi Village pipe laying work</t>
  </si>
  <si>
    <t>02-05-2023 NEFT/AXISP00386712950/SPUP23/0355/A P ENTERPRISES ₹ 1,98,000.00</t>
  </si>
  <si>
    <t>15-06-2023 NEFT/AXISP00398738898/RIUP23/643/A P ENTERPRISES 447994.00</t>
  </si>
  <si>
    <t>Panchenda Kallan Village Pipe laying work.</t>
  </si>
  <si>
    <t>Hold amount release note</t>
  </si>
  <si>
    <t>28-08-2023 NEFT/AXISP00418849234/RIUP23/1635/A P ENTERPRISES/IDIB000M779 250212.00</t>
  </si>
  <si>
    <t>07-09-2023 NEFT/AXISP00422860734/RIUP23/1856/A P ENTERPRISES/IDIB000M779 25968.00</t>
  </si>
  <si>
    <t>31-08-2023 NEFT/AXISP00419854902/RIUP23/1807/A P ENTERPRISES/IDIB000M779 ₹ 3,46,356.00</t>
  </si>
  <si>
    <t>31-08-2023 NEFT/AXISP00419716234/RIUP23/1806/A P ENTERPRISES/IDIB000M779 942220.00</t>
  </si>
  <si>
    <t>28-08-2023 NEFT/AXISP00418870939/RIUP23/1757/A P ENTERPRISES/IDIB000M779 297000.00</t>
  </si>
  <si>
    <t>31-08-2023 NEFT/AXISP00419854901/RIUP23/1808/A P ENTERPRISES/IDIB000M779 ₹ 48,305.00</t>
  </si>
  <si>
    <t>06-09-2023 NEFT/AXISP00422274697/RIUP23/1858/A P ENTERPRISES/IDIB000M779 530086.00</t>
  </si>
  <si>
    <t>Morkooka  Village pipe laying work</t>
  </si>
  <si>
    <t>Kasoli Village OHT work 375KL 16M staging</t>
  </si>
  <si>
    <t>Badakali Village OHT Work 150KL 12M staging</t>
  </si>
  <si>
    <t xml:space="preserve">Seemli Village Pipe laying work </t>
  </si>
  <si>
    <t>11-10-2023 NEFT/AXISP00433253775/RIUP23/2503/A P ENTERPRISES/IDIB000M779 65938.00</t>
  </si>
  <si>
    <t>13-10-2023 NEFT/AXISP00434019639/RIUP23/2502/A P ENTERPRISES/IDIB000M779 17324.00</t>
  </si>
  <si>
    <t>11-10-2023 NEFT/AXISP00433203146/RIUP23/2583/A P ENTERPRISES/IDIB000M779 217950.00</t>
  </si>
  <si>
    <t>17-10-2023 NEFT/AXISP00435127245/RIUP23/2656/A P ENTERPRISES/IDIB000M779 581792.00</t>
  </si>
  <si>
    <t xml:space="preserve">Rohana Khurd Village Pipe laying work </t>
  </si>
  <si>
    <t>04-01-2024 NEFT/AXISP00459277738/RIUP23/4106/A P ENTERPRISES/IDIB000M779 346500.00</t>
  </si>
  <si>
    <t>04-01-2024 NEFT/AXISP00459277739/RIUP23/4105/A P ENTERPRISES/IDIB000M779 148500.00</t>
  </si>
  <si>
    <t>04-01-2024 NEFT/AXISP00459277736/RIUP23/4108/A PENTERPRISES/IDIB000M779 297000.00</t>
  </si>
  <si>
    <t>04-01-2024 NEFT/AXISP00459277737/RIUP23/4107/A P ENTERPRISES/IDIB000M779 247500.00</t>
  </si>
  <si>
    <t>Total Paid</t>
  </si>
  <si>
    <t>Balance payable</t>
  </si>
  <si>
    <t>adv deducted in  59578</t>
  </si>
  <si>
    <t>adv deducted in  57724</t>
  </si>
  <si>
    <t>Billbooked - but bill no same 57724</t>
  </si>
  <si>
    <t>Billbooked - but bill no same 59119</t>
  </si>
  <si>
    <t>02-11-2023 NEFT/AXISP00439799501/RIUP23/2902/A P ENTERPRISES/IDIB000M779 601341.00</t>
  </si>
  <si>
    <t>S.NO.</t>
  </si>
  <si>
    <t>Date Of Issue</t>
  </si>
  <si>
    <t>Issue Slip No</t>
  </si>
  <si>
    <t>Name of Party</t>
  </si>
  <si>
    <t>FUEL  (In Ltr)</t>
  </si>
  <si>
    <t>Petrol Pump Slip No.</t>
  </si>
  <si>
    <t>Latest Rate</t>
  </si>
  <si>
    <t>Amount (In Rs.)</t>
  </si>
  <si>
    <t>Vehicle No.</t>
  </si>
  <si>
    <t>Remarks</t>
  </si>
  <si>
    <t xml:space="preserve">ISSUE FOR </t>
  </si>
  <si>
    <t>DEBIT NOTE NO.</t>
  </si>
  <si>
    <t>Tax Invocies On PMC</t>
  </si>
  <si>
    <t>30.10.2022</t>
  </si>
  <si>
    <t>A.P Enterprieses</t>
  </si>
  <si>
    <t>Debit to M/s. A.P Enterprises</t>
  </si>
  <si>
    <t>Pipeline work at Pachenda Khurd Village</t>
  </si>
  <si>
    <t>149/23.12.2022</t>
  </si>
  <si>
    <t>03/23.12.2022</t>
  </si>
  <si>
    <t>Pipeline work at Pachenda Kalan Village</t>
  </si>
  <si>
    <t>85/15.11.2022</t>
  </si>
  <si>
    <t>01/15.11.2022</t>
  </si>
  <si>
    <t>20.11.2022</t>
  </si>
  <si>
    <t>163/09.01.2023</t>
  </si>
  <si>
    <t>06/.09.01.2023</t>
  </si>
  <si>
    <t>Pipeline work at Bhaisani Village</t>
  </si>
  <si>
    <t>150/23.12.2022</t>
  </si>
  <si>
    <t>04/23.12.2022</t>
  </si>
  <si>
    <t>16.12.2022</t>
  </si>
  <si>
    <t>725/07.08.2023</t>
  </si>
  <si>
    <t>07/07.08.2023</t>
  </si>
  <si>
    <t>05.12.2022</t>
  </si>
  <si>
    <t>05.11.2022</t>
  </si>
  <si>
    <t>04.10.2022</t>
  </si>
  <si>
    <t>01.01.2023</t>
  </si>
  <si>
    <t>Pipeline work at Khedidudhadhari Village</t>
  </si>
  <si>
    <t>190/31.01.2023</t>
  </si>
  <si>
    <t>07/31.01.2023</t>
  </si>
  <si>
    <t>05.05.2023</t>
  </si>
  <si>
    <t>Pipeline work at Pachendakala Village</t>
  </si>
  <si>
    <t>05.10.2023</t>
  </si>
  <si>
    <t>DEBIT TO A.P ENTERPRISES</t>
  </si>
  <si>
    <t>ROHANA KHURD</t>
  </si>
  <si>
    <t>818/ 09.10.2023</t>
  </si>
  <si>
    <t>BILL SEEMLI 09.10.2023</t>
  </si>
  <si>
    <t>07.10.2023</t>
  </si>
  <si>
    <t>08.10.2023</t>
  </si>
  <si>
    <t>12.10.2023</t>
  </si>
  <si>
    <t>864/ 04.11.2023</t>
  </si>
  <si>
    <t>BILL MUSTAFABAD 04.11.2023</t>
  </si>
  <si>
    <t>DEBIT NOTE TRANSFER TO PERFECT INNOVATION</t>
  </si>
  <si>
    <t>18.10.2023</t>
  </si>
  <si>
    <t>MUSTAFABAD</t>
  </si>
  <si>
    <t>19.10.2023</t>
  </si>
  <si>
    <t>21.10.2023</t>
  </si>
  <si>
    <t>25.10.2023</t>
  </si>
  <si>
    <t>27.10.2023</t>
  </si>
  <si>
    <t>29.10.2023</t>
  </si>
  <si>
    <t>KUTUBPUR</t>
  </si>
  <si>
    <t>01.11.2023</t>
  </si>
  <si>
    <t>04.11.2023</t>
  </si>
  <si>
    <t>MORKUKKA</t>
  </si>
  <si>
    <t>927/21.12.2023</t>
  </si>
  <si>
    <t>BILL MUTHURA 21.12.2023</t>
  </si>
  <si>
    <t>DEBIT TRANSFER TO PERFECT INNOVATION</t>
  </si>
  <si>
    <t>05.11.2023</t>
  </si>
  <si>
    <t>MAHRAIPUR</t>
  </si>
  <si>
    <t>10.11.2023</t>
  </si>
  <si>
    <t>MUTHURA</t>
  </si>
  <si>
    <t>24.11.2023</t>
  </si>
  <si>
    <t>13.12.2023</t>
  </si>
  <si>
    <t xml:space="preserve"> </t>
  </si>
  <si>
    <t>QTY (BAG)</t>
  </si>
  <si>
    <t>IN TON</t>
  </si>
  <si>
    <t>RATE (PER TON)</t>
  </si>
  <si>
    <t>GST (28%)</t>
  </si>
  <si>
    <t>CONTRACTOR INVOICE DETAIL</t>
  </si>
  <si>
    <t>15.06.2023</t>
  </si>
  <si>
    <t>A.P ENTERPRISES</t>
  </si>
  <si>
    <t>For CC work</t>
  </si>
  <si>
    <t>741/ 19.08.2023</t>
  </si>
  <si>
    <t>BILL BHOOPKHERI 19.08.2023</t>
  </si>
  <si>
    <t>RETURNABLE BASIS</t>
  </si>
  <si>
    <t>04.07.2023</t>
  </si>
  <si>
    <t>KheriDudhadhari</t>
  </si>
  <si>
    <t>16.07.2023</t>
  </si>
  <si>
    <t>Pachendakalan</t>
  </si>
  <si>
    <t>Kheri Duddahari</t>
  </si>
  <si>
    <t>02.11.2023</t>
  </si>
  <si>
    <t>16.11.2023</t>
  </si>
  <si>
    <t>17.11.2023</t>
  </si>
  <si>
    <t>Total</t>
  </si>
  <si>
    <t>Total Hold</t>
  </si>
  <si>
    <t>Advance / Surplus</t>
  </si>
  <si>
    <t>GST Remaining</t>
  </si>
  <si>
    <t>Advance Village Wise</t>
  </si>
  <si>
    <t>05-02-2024 NEFT/AXISP00468190239/RIUP23/4584/A P ENTERPRISES/IDIB000M779 148500.00</t>
  </si>
  <si>
    <t>05-02-2024 NEFT/AXISP00468456761/RIUP23/4598/A P ENTERPRISES/IDIB000M779 247500.00</t>
  </si>
  <si>
    <t xml:space="preserve">GST </t>
  </si>
  <si>
    <t>05-02-2024 NEFT/AXISP00468456762/RIUP23/4602/A P ENTERPRISES/IDIB000M779 49500.00</t>
  </si>
  <si>
    <t>05-02-2024 NEFT/AXISP00468456765/RIUP23/4599/A P ENTERPRISES/IDIB000M779 74250.00</t>
  </si>
  <si>
    <t>05-02-2024 NEFT/AXISP00468456763/RIUP23/4601/A P ENTERPRISES/IDIB000M779 24750.00</t>
  </si>
  <si>
    <t>05-02-2024 NEFT/AXISP00468456764/RIUP23/4600/A P ENTERPRISES/IDIB000M779 99000.00</t>
  </si>
  <si>
    <t>01-02-2024 NEFT/AXISP00467277204/RIUP23/4400/A P ENTERPRISES/IDIB000M779 178192.00</t>
  </si>
  <si>
    <t>GST</t>
  </si>
  <si>
    <t>12-01-2024 NEFT/AXISP00462196165/RIUP23/4237/A P ENTERPRISES/IDIB000M779 367541.00</t>
  </si>
  <si>
    <t>12-01-2024 NEFT/AXISP00462196164/RIUP23/4235/A P ENTERPRISES/IDIB000M779 287171.00</t>
  </si>
  <si>
    <t>15, 16, 18</t>
  </si>
  <si>
    <t>15, 17,19</t>
  </si>
  <si>
    <t>19, 21</t>
  </si>
  <si>
    <t>15-03-2024 NEFT/AXISP00481321981/RIUP23/4939/A P ENTERPRISES/IDIB000M779 200000.00</t>
  </si>
  <si>
    <t>20,22</t>
  </si>
  <si>
    <t>21,23</t>
  </si>
  <si>
    <t>20, 22</t>
  </si>
  <si>
    <t>18, 20</t>
  </si>
  <si>
    <t>13,15</t>
  </si>
  <si>
    <t>13, 14</t>
  </si>
  <si>
    <t>8, 9</t>
  </si>
  <si>
    <t>9, 10</t>
  </si>
  <si>
    <t>10, 11</t>
  </si>
  <si>
    <t>11, 12</t>
  </si>
  <si>
    <t>22-03-2024 NEFT/AXISP00483444832/RIUP23/5207/A P ENTERPRISES/IDIB000M779 165371.00</t>
  </si>
  <si>
    <t>22-03-2024 NEFT/AXISP00483612633/RIUP23/5227/A P ENTERPRISES/IDIB000M779 173686.00</t>
  </si>
  <si>
    <t>31-03-2024 NEFT/AXISP00486642367/RIUP23/5110/A P ENTERPRISES/IDIB000M779 234650.00</t>
  </si>
  <si>
    <t>31-03-2024 NEFT/AXISP00486642366/RIUP23/5226/A P ENTERPRISES/IDIB000M779 133812.00</t>
  </si>
  <si>
    <t>06-04-2024 NEFT/AXISP00489186679/RIUP23/5244/A P ENTERPRISES/IDIB000M779 144398.00</t>
  </si>
  <si>
    <t>02-05-2024 NEFT/AXISP00496215186/RIUP24/0359/A P ENTERPRISES/IDIB000M779 99000.00</t>
  </si>
  <si>
    <t>02-05-2024 NEFT/AXISP00496215185/RIUP24/0360/A P ENTERPRISES/IDIB000M779 148500.00</t>
  </si>
  <si>
    <t>TDS-49500</t>
  </si>
  <si>
    <t>tds-64680</t>
  </si>
  <si>
    <t>tds-89326</t>
  </si>
  <si>
    <t>tds-87685</t>
  </si>
  <si>
    <t>tds-12229</t>
  </si>
  <si>
    <t>tds-56195</t>
  </si>
  <si>
    <t>tds-223680</t>
  </si>
  <si>
    <t>tds-134199</t>
  </si>
  <si>
    <t>tds-23750</t>
  </si>
  <si>
    <t>tds-134615</t>
  </si>
  <si>
    <t>tds-86500</t>
  </si>
  <si>
    <t>tds-192419</t>
  </si>
  <si>
    <t>tds-166958</t>
  </si>
  <si>
    <t>gst</t>
  </si>
  <si>
    <t>13.05-2024</t>
  </si>
  <si>
    <t>16-02-2024 NEFT/AXISP00472106410/RIUP23/4732/A P ENTERPRISES/IDIB000M779 49500.00</t>
  </si>
  <si>
    <t>16-02-2024 NEFT/AXISP00472106411/RIUP23/4733/A P ENTERPRISES/IDIB000M779 99000.00</t>
  </si>
  <si>
    <t>30-04-2024 NEFT/AXISP00495097365/RIUP24/0357/A P ENTERPRISES/IDIB000M779 297000.00</t>
  </si>
  <si>
    <t>not enter in tally-GST release note</t>
  </si>
  <si>
    <t>Total amount</t>
  </si>
  <si>
    <t>issue no.</t>
  </si>
  <si>
    <t>TDS in tally</t>
  </si>
  <si>
    <t>cash given as per Tally ledger</t>
  </si>
  <si>
    <t>Basic amount</t>
  </si>
  <si>
    <t>bais amt</t>
  </si>
  <si>
    <t>TDS 1%</t>
  </si>
  <si>
    <t>24-06-2024 NEFT/AXISP00511368166/RIUP24/0947/A P ENTERPRISES/IDIB000M779 82969.00</t>
  </si>
  <si>
    <t xml:space="preserve">26-06-2024 NEFT/AXISP00511923118/RIUP24/0946/A P ENTERPRISES/IDIB000M779 173177.00
</t>
  </si>
  <si>
    <t>7,8</t>
  </si>
  <si>
    <t>12,13</t>
  </si>
  <si>
    <t>7&amp;8  12&amp;13</t>
  </si>
  <si>
    <t>PMC No-</t>
  </si>
  <si>
    <t>Advance</t>
  </si>
  <si>
    <t>S.No.</t>
  </si>
  <si>
    <t>19-07-2024 NEFT O/W-YESIG42010144963-IDIB000M779-A P ENTERPRISES -RIUP24/1201 RS 1,26,563.00</t>
  </si>
  <si>
    <t>14, 16</t>
  </si>
  <si>
    <t>19-07-2024 NEFT O/W-YESIG42010143589-IDIB000M779-A P ENTERPRISES-RIUP24/1200 RS 22,275.00</t>
  </si>
  <si>
    <t>11-07-2024 NEFT/AXISP00517806262/RIUP24/1086/A P ENTERPRISES/IDIB000M779 400328.00</t>
  </si>
  <si>
    <t>19-07-2024 NEFT O/W-YESIG42010143588-IDIB000M779-A P ENTERPRISES -RIUP24/1203 RS 2,95,524.00</t>
  </si>
  <si>
    <t>20-07-2024 NEFT/AXISP00520155444/RIUP24/1210/A P ENTERPRISES/IDIB000M779 49500.00</t>
  </si>
  <si>
    <t>20-07-2024 NEFT/AXISP00520155441/RIUP24/1211/A P ENTERPRISES/IDIB000M779 99000.00</t>
  </si>
  <si>
    <t>6, 3</t>
  </si>
  <si>
    <t xml:space="preserve">Pachenda Khurd Village Block - Sadar Pipe laying work </t>
  </si>
  <si>
    <t>23-08-2024 NEFT/AXISP00531577842/SKUP24/160/A P ENTERPRISES/IDIB000M779 297000.00</t>
  </si>
  <si>
    <t xml:space="preserve">Kutubpur Village Block - Purkazi CONSTRUCTION OF PIPELINE  WORK - VILLAGE </t>
  </si>
  <si>
    <t>29-08-2024 NEFT/AXISP00533190152/RIUP24/1558/A P ENTERPRISES/IDIB000M779 247500.00</t>
  </si>
  <si>
    <t>29-08-2024 NEFT/AXISP00533190151/RIUP24/1559/A P ENTERPRISES/IDIB000M779 49500.00</t>
  </si>
  <si>
    <t>29-08-2024 NEFT/AXISP00533190153/RIUP24/1557/A P ENTERPRISES/IDIB000M779 49500.00</t>
  </si>
  <si>
    <t>29-08-2024 NEFT/AXISP00533190149/RIUP24/1561/A P ENTERPRISES/IDIB000M779 99000.00</t>
  </si>
  <si>
    <t>29-08-2024 NEFT/AXISP00533190150/RIUP24/1560/A P ENTERPRISES/IDIB000M779 99000.00</t>
  </si>
  <si>
    <t>29-08-2024 NEFT/AXISP00533190154/RIUP24/1563/A P ENTERPRISES/IDIB000M779 99000.00</t>
  </si>
  <si>
    <t>29-08-2024 NEFT/AXISP00533190148/RIUP24/1562/A P ENTERPRISES/IDIB000M779 49500.00</t>
  </si>
  <si>
    <t>2 bills</t>
  </si>
  <si>
    <t>Extra Hold</t>
  </si>
  <si>
    <t>18-09-2024 NEFT/AXISP00541733393/RIUP24/1838/A P ENTERPRISES/IDIB000M779 99000.00</t>
  </si>
  <si>
    <t>27-09-2024 NEFT/AXISP00545360699/RIUP24/1985/A P ENTERPRISES/IDIB000M779 297000.00</t>
  </si>
  <si>
    <t>27-09-2024 NEFT/AXISP00545360698/RIUP24/1984/A P ENTERPRISES/IDIB000M779 198000.00</t>
  </si>
  <si>
    <t>Subcontractor:</t>
  </si>
  <si>
    <t>State:</t>
  </si>
  <si>
    <t>District:</t>
  </si>
  <si>
    <t>Block:</t>
  </si>
  <si>
    <t>Uttar Pradesh</t>
  </si>
  <si>
    <t>Muzaffarnagar</t>
  </si>
  <si>
    <t>AP Entyerprises</t>
  </si>
  <si>
    <t xml:space="preserve">NIYAMU VILLAGE OHT WORK AT NIYAMU VILLAGE 325 KL 12M </t>
  </si>
  <si>
    <t>ROHANA KHURD VILLAGE OHT 225KL 12 MTR STAGING work ROHANA KHURD VILLAGE BLOCK CHARTHAWAL</t>
  </si>
  <si>
    <t xml:space="preserve">BADHAI KHURD VILLAGE OHT 200KL 12 MTR STAGING work  BADHAI KHURD VILLAGE BLOCK CHARTHAWAL  </t>
  </si>
  <si>
    <t xml:space="preserve"> BANNAGAR VILLAGE OHT 175KL 12 MTR STAGING work  BANNAGAR VILLAGE BLOCK CHARTHAWAL </t>
  </si>
  <si>
    <t>Sikandarpur village  OHT work 200KL 14M staging</t>
  </si>
  <si>
    <t>Pachenda Kalan village   Pipe Laying Work</t>
  </si>
  <si>
    <t>MUSTAFABAD VILLAGE BALANCE PIPE LAYING WORK AT MUSTAFABAD VILLAGE  Block _ Sadar</t>
  </si>
  <si>
    <t xml:space="preserve">Kutubpur Village CONSTRUCTION OF PIPELINE  WORK - VILLAGE </t>
  </si>
  <si>
    <t>NIYAMU VILLAGE BALANCE PIPE LAYING WORK AT - NIYAMU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</si>
</sst>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6">
    <xf numFmtId="0" fontId="0" fillId="0" borderId="0" xfId="0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43" fontId="0" fillId="2" borderId="6" xfId="1" applyNumberFormat="1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5" fillId="0" borderId="8" xfId="1" applyNumberFormat="1" applyFont="1" applyFill="1" applyBorder="1" applyAlignment="1">
      <alignment vertical="center"/>
    </xf>
    <xf numFmtId="43" fontId="5" fillId="2" borderId="13" xfId="1" applyNumberFormat="1" applyFont="1" applyFill="1" applyBorder="1" applyAlignment="1">
      <alignment vertical="center"/>
    </xf>
    <xf numFmtId="43" fontId="5" fillId="2" borderId="14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14" fontId="7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2" borderId="13" xfId="0" applyFont="1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43" fontId="0" fillId="2" borderId="8" xfId="0" applyNumberForma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7" fillId="2" borderId="0" xfId="0" applyNumberFormat="1" applyFont="1" applyFill="1" applyAlignment="1">
      <alignment vertical="center"/>
    </xf>
    <xf numFmtId="0" fontId="8" fillId="0" borderId="0" xfId="0" applyFont="1"/>
    <xf numFmtId="43" fontId="0" fillId="2" borderId="0" xfId="0" applyNumberFormat="1" applyFill="1" applyAlignment="1">
      <alignment vertical="center"/>
    </xf>
    <xf numFmtId="43" fontId="0" fillId="2" borderId="6" xfId="0" applyNumberForma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43" fontId="7" fillId="2" borderId="20" xfId="1" applyNumberFormat="1" applyFont="1" applyFill="1" applyBorder="1" applyAlignment="1">
      <alignment vertical="center"/>
    </xf>
    <xf numFmtId="43" fontId="7" fillId="2" borderId="20" xfId="0" applyNumberFormat="1" applyFont="1" applyFill="1" applyBorder="1" applyAlignment="1">
      <alignment vertical="center"/>
    </xf>
    <xf numFmtId="43" fontId="12" fillId="2" borderId="0" xfId="1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43" fontId="12" fillId="2" borderId="0" xfId="1" applyNumberFormat="1" applyFont="1" applyFill="1" applyBorder="1" applyAlignment="1">
      <alignment horizontal="right" vertical="center"/>
    </xf>
    <xf numFmtId="0" fontId="0" fillId="4" borderId="6" xfId="0" applyFill="1" applyBorder="1" applyAlignment="1">
      <alignment vertical="center"/>
    </xf>
    <xf numFmtId="0" fontId="7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7" fillId="0" borderId="14" xfId="0" applyFont="1" applyBorder="1" applyAlignment="1">
      <alignment horizontal="center"/>
    </xf>
    <xf numFmtId="166" fontId="7" fillId="0" borderId="14" xfId="0" applyNumberFormat="1" applyFont="1" applyBorder="1" applyAlignment="1">
      <alignment horizontal="center"/>
    </xf>
    <xf numFmtId="0" fontId="7" fillId="2" borderId="0" xfId="0" applyFont="1" applyFill="1" applyAlignment="1">
      <alignment horizontal="left" vertical="center"/>
    </xf>
    <xf numFmtId="0" fontId="0" fillId="2" borderId="7" xfId="0" applyFill="1" applyBorder="1" applyAlignment="1">
      <alignment vertical="center"/>
    </xf>
    <xf numFmtId="14" fontId="8" fillId="0" borderId="0" xfId="0" applyNumberFormat="1" applyFont="1"/>
    <xf numFmtId="0" fontId="7" fillId="2" borderId="0" xfId="0" applyFont="1" applyFill="1" applyAlignment="1">
      <alignment vertical="center" wrapText="1"/>
    </xf>
    <xf numFmtId="43" fontId="2" fillId="2" borderId="1" xfId="1" applyNumberFormat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5" fillId="2" borderId="13" xfId="0" applyFont="1" applyFill="1" applyBorder="1" applyAlignment="1">
      <alignment horizontal="center" vertical="center" wrapText="1"/>
    </xf>
    <xf numFmtId="14" fontId="5" fillId="2" borderId="13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3" fontId="6" fillId="2" borderId="13" xfId="1" applyNumberFormat="1" applyFont="1" applyFill="1" applyBorder="1" applyAlignment="1">
      <alignment horizontal="center" vertical="center"/>
    </xf>
    <xf numFmtId="43" fontId="5" fillId="2" borderId="13" xfId="1" applyNumberFormat="1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vertical="center" wrapText="1"/>
    </xf>
    <xf numFmtId="14" fontId="3" fillId="2" borderId="8" xfId="1" applyNumberFormat="1" applyFont="1" applyFill="1" applyBorder="1" applyAlignment="1">
      <alignment vertical="center"/>
    </xf>
    <xf numFmtId="0" fontId="3" fillId="2" borderId="8" xfId="1" applyNumberFormat="1" applyFont="1" applyFill="1" applyBorder="1" applyAlignment="1">
      <alignment horizontal="center" vertical="center"/>
    </xf>
    <xf numFmtId="43" fontId="3" fillId="2" borderId="8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 wrapText="1"/>
    </xf>
    <xf numFmtId="43" fontId="3" fillId="3" borderId="8" xfId="1" applyNumberFormat="1" applyFont="1" applyFill="1" applyBorder="1" applyAlignment="1">
      <alignment vertical="center" wrapText="1"/>
    </xf>
    <xf numFmtId="14" fontId="3" fillId="3" borderId="8" xfId="1" applyNumberFormat="1" applyFont="1" applyFill="1" applyBorder="1" applyAlignment="1">
      <alignment vertical="center"/>
    </xf>
    <xf numFmtId="0" fontId="3" fillId="3" borderId="8" xfId="1" applyNumberFormat="1" applyFont="1" applyFill="1" applyBorder="1" applyAlignment="1">
      <alignment horizontal="center"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15" fontId="3" fillId="2" borderId="8" xfId="0" applyNumberFormat="1" applyFont="1" applyFill="1" applyBorder="1" applyAlignment="1">
      <alignment horizontal="center" vertical="center"/>
    </xf>
    <xf numFmtId="0" fontId="3" fillId="2" borderId="8" xfId="0" quotePrefix="1" applyFont="1" applyFill="1" applyBorder="1" applyAlignment="1">
      <alignment horizontal="center" vertical="center"/>
    </xf>
    <xf numFmtId="43" fontId="14" fillId="9" borderId="8" xfId="1" applyNumberFormat="1" applyFont="1" applyFill="1" applyBorder="1" applyAlignment="1">
      <alignment vertical="center"/>
    </xf>
    <xf numFmtId="43" fontId="3" fillId="5" borderId="8" xfId="1" applyNumberFormat="1" applyFont="1" applyFill="1" applyBorder="1" applyAlignment="1">
      <alignment vertical="center"/>
    </xf>
    <xf numFmtId="14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3" fontId="14" fillId="2" borderId="8" xfId="1" applyNumberFormat="1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43" fontId="0" fillId="2" borderId="8" xfId="1" applyNumberFormat="1" applyFont="1" applyFill="1" applyBorder="1" applyAlignment="1">
      <alignment vertical="center"/>
    </xf>
    <xf numFmtId="165" fontId="3" fillId="2" borderId="8" xfId="1" applyNumberFormat="1" applyFont="1" applyFill="1" applyBorder="1" applyAlignment="1">
      <alignment vertical="center"/>
    </xf>
    <xf numFmtId="43" fontId="14" fillId="0" borderId="8" xfId="1" applyNumberFormat="1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15" fontId="0" fillId="2" borderId="8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43" fontId="13" fillId="9" borderId="8" xfId="1" applyNumberFormat="1" applyFont="1" applyFill="1" applyBorder="1" applyAlignment="1">
      <alignment vertical="center"/>
    </xf>
    <xf numFmtId="43" fontId="0" fillId="5" borderId="8" xfId="1" applyNumberFormat="1" applyFont="1" applyFill="1" applyBorder="1" applyAlignment="1">
      <alignment vertical="center"/>
    </xf>
    <xf numFmtId="43" fontId="3" fillId="0" borderId="8" xfId="1" applyNumberFormat="1" applyFont="1" applyFill="1" applyBorder="1" applyAlignment="1">
      <alignment vertical="center" wrapText="1"/>
    </xf>
    <xf numFmtId="14" fontId="3" fillId="0" borderId="8" xfId="1" applyNumberFormat="1" applyFont="1" applyFill="1" applyBorder="1" applyAlignment="1">
      <alignment vertical="center"/>
    </xf>
    <xf numFmtId="43" fontId="3" fillId="0" borderId="8" xfId="1" applyNumberFormat="1" applyFont="1" applyFill="1" applyBorder="1" applyAlignment="1">
      <alignment vertical="center"/>
    </xf>
    <xf numFmtId="0" fontId="3" fillId="0" borderId="8" xfId="1" applyNumberFormat="1" applyFont="1" applyFill="1" applyBorder="1" applyAlignment="1">
      <alignment horizontal="center" vertical="center"/>
    </xf>
    <xf numFmtId="0" fontId="8" fillId="0" borderId="8" xfId="0" applyFont="1" applyBorder="1"/>
    <xf numFmtId="43" fontId="0" fillId="0" borderId="8" xfId="0" applyNumberFormat="1" applyBorder="1" applyAlignment="1">
      <alignment vertical="center"/>
    </xf>
    <xf numFmtId="43" fontId="5" fillId="0" borderId="14" xfId="1" applyNumberFormat="1" applyFont="1" applyFill="1" applyBorder="1" applyAlignment="1">
      <alignment vertical="center"/>
    </xf>
    <xf numFmtId="43" fontId="3" fillId="0" borderId="14" xfId="1" applyNumberFormat="1" applyFont="1" applyFill="1" applyBorder="1" applyAlignment="1">
      <alignment vertical="center" wrapText="1"/>
    </xf>
    <xf numFmtId="14" fontId="3" fillId="0" borderId="14" xfId="1" applyNumberFormat="1" applyFont="1" applyFill="1" applyBorder="1" applyAlignment="1">
      <alignment vertical="center"/>
    </xf>
    <xf numFmtId="0" fontId="3" fillId="0" borderId="14" xfId="1" applyNumberFormat="1" applyFont="1" applyFill="1" applyBorder="1" applyAlignment="1">
      <alignment horizontal="center" vertical="center"/>
    </xf>
    <xf numFmtId="43" fontId="3" fillId="0" borderId="14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43" fontId="0" fillId="0" borderId="14" xfId="0" applyNumberFormat="1" applyBorder="1" applyAlignment="1">
      <alignment vertical="center"/>
    </xf>
    <xf numFmtId="43" fontId="3" fillId="2" borderId="13" xfId="1" applyNumberFormat="1" applyFont="1" applyFill="1" applyBorder="1" applyAlignment="1">
      <alignment vertical="center" wrapText="1"/>
    </xf>
    <xf numFmtId="14" fontId="3" fillId="2" borderId="13" xfId="1" applyNumberFormat="1" applyFont="1" applyFill="1" applyBorder="1" applyAlignment="1">
      <alignment vertical="center"/>
    </xf>
    <xf numFmtId="0" fontId="3" fillId="2" borderId="13" xfId="1" applyNumberFormat="1" applyFont="1" applyFill="1" applyBorder="1" applyAlignment="1">
      <alignment horizontal="center"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 wrapText="1"/>
    </xf>
    <xf numFmtId="14" fontId="3" fillId="2" borderId="14" xfId="1" applyNumberFormat="1" applyFont="1" applyFill="1" applyBorder="1" applyAlignment="1">
      <alignment vertical="center"/>
    </xf>
    <xf numFmtId="0" fontId="3" fillId="2" borderId="14" xfId="1" applyNumberFormat="1" applyFont="1" applyFill="1" applyBorder="1" applyAlignment="1">
      <alignment horizontal="center" vertical="center"/>
    </xf>
    <xf numFmtId="43" fontId="3" fillId="2" borderId="14" xfId="1" applyNumberFormat="1" applyFont="1" applyFill="1" applyBorder="1" applyAlignment="1">
      <alignment vertical="center"/>
    </xf>
    <xf numFmtId="0" fontId="7" fillId="0" borderId="0" xfId="0" applyFont="1"/>
    <xf numFmtId="0" fontId="0" fillId="0" borderId="0" xfId="0" applyFont="1"/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43" fontId="12" fillId="2" borderId="18" xfId="1" applyNumberFormat="1" applyFont="1" applyFill="1" applyBorder="1" applyAlignment="1">
      <alignment horizontal="right" vertical="center"/>
    </xf>
    <xf numFmtId="43" fontId="12" fillId="2" borderId="19" xfId="1" applyNumberFormat="1" applyFont="1" applyFill="1" applyBorder="1" applyAlignment="1">
      <alignment horizontal="right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43" fontId="12" fillId="2" borderId="22" xfId="1" applyNumberFormat="1" applyFont="1" applyFill="1" applyBorder="1" applyAlignment="1">
      <alignment horizontal="center" vertical="center"/>
    </xf>
    <xf numFmtId="43" fontId="12" fillId="2" borderId="23" xfId="1" applyNumberFormat="1" applyFont="1" applyFill="1" applyBorder="1" applyAlignment="1">
      <alignment horizontal="center" vertical="center"/>
    </xf>
    <xf numFmtId="14" fontId="12" fillId="2" borderId="24" xfId="0" applyNumberFormat="1" applyFont="1" applyFill="1" applyBorder="1" applyAlignment="1">
      <alignment horizontal="center" vertical="center"/>
    </xf>
    <xf numFmtId="43" fontId="12" fillId="2" borderId="18" xfId="1" applyNumberFormat="1" applyFont="1" applyFill="1" applyBorder="1" applyAlignment="1">
      <alignment horizontal="center" vertical="center"/>
    </xf>
    <xf numFmtId="43" fontId="12" fillId="2" borderId="19" xfId="1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43" fontId="12" fillId="2" borderId="21" xfId="1" applyNumberFormat="1" applyFont="1" applyFill="1" applyBorder="1" applyAlignment="1">
      <alignment horizontal="center" vertical="center"/>
    </xf>
    <xf numFmtId="43" fontId="12" fillId="2" borderId="17" xfId="1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14" fontId="12" fillId="2" borderId="25" xfId="0" applyNumberFormat="1" applyFont="1" applyFill="1" applyBorder="1" applyAlignment="1">
      <alignment horizontal="center" vertical="center"/>
    </xf>
    <xf numFmtId="14" fontId="12" fillId="2" borderId="26" xfId="0" applyNumberFormat="1" applyFont="1" applyFill="1" applyBorder="1" applyAlignment="1">
      <alignment horizontal="center" vertical="center"/>
    </xf>
    <xf numFmtId="43" fontId="12" fillId="2" borderId="24" xfId="1" applyNumberFormat="1" applyFont="1" applyFill="1" applyBorder="1" applyAlignment="1">
      <alignment horizontal="center" vertical="center"/>
    </xf>
    <xf numFmtId="43" fontId="12" fillId="2" borderId="25" xfId="1" applyNumberFormat="1" applyFont="1" applyFill="1" applyBorder="1" applyAlignment="1">
      <alignment horizontal="center" vertical="center"/>
    </xf>
    <xf numFmtId="43" fontId="12" fillId="2" borderId="2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4"/>
  <sheetViews>
    <sheetView tabSelected="1" topLeftCell="A4" zoomScale="115" zoomScaleNormal="115" workbookViewId="0">
      <pane xSplit="1" ySplit="6" topLeftCell="B10" activePane="bottomRight" state="frozen"/>
      <selection activeCell="A4" sqref="A4"/>
      <selection pane="topRight" activeCell="B4" sqref="B4"/>
      <selection pane="bottomLeft" activeCell="A6" sqref="A6"/>
      <selection pane="bottomRight" activeCell="B129" sqref="B129"/>
    </sheetView>
  </sheetViews>
  <sheetFormatPr defaultColWidth="9" defaultRowHeight="15" x14ac:dyDescent="0.25"/>
  <cols>
    <col min="1" max="1" width="16.7109375" style="1" customWidth="1"/>
    <col min="2" max="2" width="38.85546875" style="11" customWidth="1"/>
    <col min="3" max="3" width="13.140625" style="13" bestFit="1" customWidth="1"/>
    <col min="4" max="4" width="21.140625" style="67" bestFit="1" customWidth="1"/>
    <col min="5" max="5" width="14.42578125" style="2" customWidth="1"/>
    <col min="6" max="6" width="13.5703125" style="2" customWidth="1"/>
    <col min="7" max="7" width="34.7109375" style="2" bestFit="1" customWidth="1"/>
    <col min="8" max="9" width="15.28515625" style="10" bestFit="1" customWidth="1"/>
    <col min="10" max="10" width="13.7109375" style="2" bestFit="1" customWidth="1"/>
    <col min="11" max="11" width="14.140625" style="2" bestFit="1" customWidth="1"/>
    <col min="12" max="12" width="15.42578125" style="2" bestFit="1" customWidth="1"/>
    <col min="13" max="13" width="15" style="2" bestFit="1" customWidth="1"/>
    <col min="14" max="14" width="15.28515625" style="2" bestFit="1" customWidth="1"/>
    <col min="15" max="15" width="17.85546875" style="11" bestFit="1" customWidth="1"/>
    <col min="16" max="16" width="14.5703125" style="11" bestFit="1" customWidth="1"/>
    <col min="17" max="17" width="16.7109375" style="2" bestFit="1" customWidth="1"/>
    <col min="18" max="18" width="12.7109375" style="1" bestFit="1" customWidth="1"/>
    <col min="19" max="19" width="18.85546875" style="2" bestFit="1" customWidth="1"/>
    <col min="20" max="20" width="92.5703125" style="2" bestFit="1" customWidth="1"/>
    <col min="21" max="21" width="32.42578125" style="2" bestFit="1" customWidth="1"/>
    <col min="22" max="24" width="9" style="2"/>
    <col min="25" max="25" width="11.5703125" style="2" bestFit="1" customWidth="1"/>
    <col min="26" max="16384" width="9" style="2"/>
  </cols>
  <sheetData>
    <row r="1" spans="1:78" ht="15.75" thickBot="1" x14ac:dyDescent="0.3">
      <c r="B1" s="91" t="s">
        <v>15</v>
      </c>
      <c r="E1" s="3"/>
      <c r="F1" s="3"/>
      <c r="G1" s="3"/>
      <c r="H1" s="4"/>
      <c r="I1" s="4"/>
    </row>
    <row r="2" spans="1:78" ht="21.75" thickBot="1" x14ac:dyDescent="0.3">
      <c r="B2" s="92" t="s">
        <v>0</v>
      </c>
      <c r="C2" s="14"/>
      <c r="D2" s="68" t="s">
        <v>20</v>
      </c>
      <c r="G2" s="5"/>
      <c r="I2" s="5" t="s">
        <v>16</v>
      </c>
      <c r="J2" s="6"/>
      <c r="K2" s="6"/>
      <c r="L2" s="6"/>
      <c r="M2" s="6"/>
      <c r="N2" s="6"/>
      <c r="O2" s="12"/>
      <c r="P2" s="12"/>
      <c r="Q2" s="6"/>
    </row>
    <row r="3" spans="1:78" ht="15.75" thickBot="1" x14ac:dyDescent="0.3">
      <c r="B3" s="93"/>
      <c r="C3" s="15"/>
      <c r="D3" s="69"/>
      <c r="E3" s="7"/>
      <c r="F3" s="6"/>
      <c r="G3" s="6"/>
      <c r="H3" s="8"/>
      <c r="I3" s="8"/>
      <c r="J3" s="6"/>
      <c r="K3" s="6"/>
      <c r="L3" s="6"/>
      <c r="M3" s="6"/>
      <c r="R3" s="70"/>
      <c r="S3" s="9"/>
      <c r="T3" s="9"/>
    </row>
    <row r="4" spans="1:78" ht="15.75" thickBot="1" x14ac:dyDescent="0.3">
      <c r="A4" s="151" t="s">
        <v>280</v>
      </c>
      <c r="B4" s="93" t="s">
        <v>286</v>
      </c>
      <c r="C4" s="15"/>
      <c r="D4" s="69"/>
      <c r="E4" s="7"/>
      <c r="F4" s="6"/>
      <c r="G4" s="6"/>
      <c r="H4" s="8"/>
      <c r="I4" s="8"/>
      <c r="J4" s="6"/>
      <c r="K4" s="6"/>
      <c r="L4" s="6"/>
      <c r="M4" s="6"/>
      <c r="R4" s="70"/>
      <c r="S4" s="9"/>
      <c r="T4" s="9"/>
    </row>
    <row r="5" spans="1:78" ht="15.75" thickBot="1" x14ac:dyDescent="0.3">
      <c r="A5" s="151" t="s">
        <v>281</v>
      </c>
      <c r="B5" s="152" t="s">
        <v>284</v>
      </c>
      <c r="C5" s="15"/>
      <c r="D5" s="69"/>
      <c r="E5" s="7"/>
      <c r="F5" s="6"/>
      <c r="G5" s="6"/>
      <c r="H5" s="8"/>
      <c r="I5" s="8"/>
      <c r="J5" s="6"/>
      <c r="K5" s="6"/>
      <c r="L5" s="6"/>
      <c r="M5" s="6"/>
      <c r="R5" s="70"/>
      <c r="S5" s="9"/>
      <c r="T5" s="9"/>
    </row>
    <row r="6" spans="1:78" ht="15.75" thickBot="1" x14ac:dyDescent="0.3">
      <c r="A6" s="151" t="s">
        <v>282</v>
      </c>
      <c r="B6" s="152" t="s">
        <v>285</v>
      </c>
      <c r="C6" s="15"/>
      <c r="D6" s="69"/>
      <c r="E6" s="7"/>
      <c r="F6" s="6"/>
      <c r="G6" s="6"/>
      <c r="H6" s="8"/>
      <c r="I6" s="8"/>
      <c r="J6" s="6"/>
      <c r="K6" s="6"/>
      <c r="L6" s="6"/>
      <c r="M6" s="6"/>
      <c r="R6" s="70"/>
      <c r="S6" s="9"/>
      <c r="T6" s="9"/>
    </row>
    <row r="7" spans="1:78" ht="15.75" thickBot="1" x14ac:dyDescent="0.3">
      <c r="A7" s="151" t="s">
        <v>283</v>
      </c>
      <c r="B7" s="152" t="s">
        <v>285</v>
      </c>
      <c r="C7" s="15"/>
      <c r="D7" s="69"/>
      <c r="E7" s="7"/>
      <c r="F7" s="6"/>
      <c r="G7" s="6"/>
      <c r="H7" s="8"/>
      <c r="I7" s="8"/>
      <c r="J7" s="6"/>
      <c r="K7" s="6"/>
      <c r="L7" s="6"/>
      <c r="M7" s="6"/>
      <c r="R7" s="70"/>
      <c r="S7" s="9"/>
      <c r="T7" s="9"/>
    </row>
    <row r="8" spans="1:78" ht="54" x14ac:dyDescent="0.25">
      <c r="A8" s="18"/>
      <c r="B8" s="95" t="s">
        <v>1</v>
      </c>
      <c r="C8" s="96" t="s">
        <v>2</v>
      </c>
      <c r="D8" s="97" t="s">
        <v>3</v>
      </c>
      <c r="E8" s="97" t="s">
        <v>4</v>
      </c>
      <c r="F8" s="97" t="s">
        <v>13</v>
      </c>
      <c r="G8" s="97" t="s">
        <v>14</v>
      </c>
      <c r="H8" s="98" t="s">
        <v>5</v>
      </c>
      <c r="I8" s="99" t="s">
        <v>6</v>
      </c>
      <c r="J8" s="95" t="s">
        <v>12</v>
      </c>
      <c r="K8" s="95" t="s">
        <v>11</v>
      </c>
      <c r="L8" s="95" t="s">
        <v>17</v>
      </c>
      <c r="M8" s="95" t="s">
        <v>18</v>
      </c>
      <c r="N8" s="95" t="s">
        <v>7</v>
      </c>
      <c r="O8" s="95" t="s">
        <v>19</v>
      </c>
      <c r="P8" s="95" t="s">
        <v>244</v>
      </c>
      <c r="Q8" s="95" t="s">
        <v>8</v>
      </c>
      <c r="R8" s="18"/>
      <c r="S8" s="95" t="s">
        <v>9</v>
      </c>
      <c r="T8" s="95" t="s">
        <v>10</v>
      </c>
      <c r="U8" s="61" t="s">
        <v>190</v>
      </c>
    </row>
    <row r="9" spans="1:78" x14ac:dyDescent="0.25">
      <c r="A9" s="19"/>
      <c r="B9" s="100"/>
      <c r="C9" s="101"/>
      <c r="D9" s="102"/>
      <c r="E9" s="103"/>
      <c r="F9" s="103"/>
      <c r="G9" s="103"/>
      <c r="H9" s="104">
        <v>0.18</v>
      </c>
      <c r="I9" s="103"/>
      <c r="J9" s="104">
        <v>0.01</v>
      </c>
      <c r="K9" s="104">
        <v>0.05</v>
      </c>
      <c r="L9" s="104">
        <v>0.05</v>
      </c>
      <c r="M9" s="104">
        <v>0.1</v>
      </c>
      <c r="N9" s="104">
        <v>0.18</v>
      </c>
      <c r="O9" s="105"/>
      <c r="P9" s="105"/>
      <c r="Q9" s="103"/>
      <c r="R9" s="19"/>
      <c r="S9" s="103"/>
      <c r="T9" s="103"/>
      <c r="U9" s="62"/>
    </row>
    <row r="10" spans="1:78" s="60" customFormat="1" x14ac:dyDescent="0.25">
      <c r="A10" s="59">
        <v>57724</v>
      </c>
      <c r="B10" s="106"/>
      <c r="C10" s="107"/>
      <c r="D10" s="108"/>
      <c r="E10" s="109"/>
      <c r="F10" s="109"/>
      <c r="G10" s="109"/>
      <c r="H10" s="110"/>
      <c r="I10" s="109"/>
      <c r="J10" s="110"/>
      <c r="K10" s="110"/>
      <c r="L10" s="110"/>
      <c r="M10" s="110"/>
      <c r="N10" s="110"/>
      <c r="O10" s="111"/>
      <c r="P10" s="111"/>
      <c r="Q10" s="109"/>
      <c r="R10" s="59">
        <v>57724</v>
      </c>
      <c r="S10" s="109"/>
      <c r="T10" s="109"/>
      <c r="U10" s="63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</row>
    <row r="11" spans="1:78" x14ac:dyDescent="0.25">
      <c r="A11" s="19">
        <v>57724</v>
      </c>
      <c r="B11" s="112" t="s">
        <v>76</v>
      </c>
      <c r="C11" s="113">
        <v>45192</v>
      </c>
      <c r="D11" s="114" t="s">
        <v>258</v>
      </c>
      <c r="E11" s="103">
        <f>4687500*15%</f>
        <v>703125</v>
      </c>
      <c r="F11" s="103">
        <v>0</v>
      </c>
      <c r="G11" s="103">
        <f>ROUND(E11-F11,)</f>
        <v>703125</v>
      </c>
      <c r="H11" s="103">
        <f>G11*18%</f>
        <v>126562.5</v>
      </c>
      <c r="I11" s="103">
        <f>G11+H11</f>
        <v>829687.5</v>
      </c>
      <c r="J11" s="103">
        <f>ROUND(G11*$J$9,)</f>
        <v>7031</v>
      </c>
      <c r="K11" s="103">
        <f>ROUND(G11*$K$9,)</f>
        <v>35156</v>
      </c>
      <c r="L11" s="103"/>
      <c r="M11" s="103"/>
      <c r="N11" s="115">
        <f>H11</f>
        <v>126562.5</v>
      </c>
      <c r="O11" s="103">
        <v>0</v>
      </c>
      <c r="P11" s="103">
        <v>134615</v>
      </c>
      <c r="Q11" s="116">
        <f>ROUND(I11-SUM(J11:O11),0)</f>
        <v>660938</v>
      </c>
      <c r="R11" s="19" t="s">
        <v>232</v>
      </c>
      <c r="S11" s="116">
        <v>198000</v>
      </c>
      <c r="T11" s="65" t="s">
        <v>22</v>
      </c>
      <c r="U11" s="62"/>
    </row>
    <row r="12" spans="1:78" x14ac:dyDescent="0.25">
      <c r="A12" s="19">
        <v>57724</v>
      </c>
      <c r="B12" s="112" t="s">
        <v>236</v>
      </c>
      <c r="C12" s="117"/>
      <c r="D12" s="114" t="s">
        <v>258</v>
      </c>
      <c r="E12" s="103">
        <f>H11</f>
        <v>126562.5</v>
      </c>
      <c r="F12" s="103"/>
      <c r="G12" s="103"/>
      <c r="H12" s="103"/>
      <c r="I12" s="103"/>
      <c r="J12" s="103"/>
      <c r="K12" s="103"/>
      <c r="L12" s="103"/>
      <c r="M12" s="103"/>
      <c r="N12" s="103"/>
      <c r="O12" s="100"/>
      <c r="P12" s="100"/>
      <c r="Q12" s="115">
        <f>N11</f>
        <v>126562.5</v>
      </c>
      <c r="R12" s="19"/>
      <c r="S12" s="116">
        <v>65938</v>
      </c>
      <c r="T12" s="65" t="s">
        <v>79</v>
      </c>
      <c r="U12" s="62"/>
    </row>
    <row r="13" spans="1:78" x14ac:dyDescent="0.25">
      <c r="A13" s="19"/>
      <c r="B13" s="112"/>
      <c r="C13" s="117"/>
      <c r="D13" s="118"/>
      <c r="E13" s="103"/>
      <c r="F13" s="103"/>
      <c r="G13" s="103">
        <f>E13-F13</f>
        <v>0</v>
      </c>
      <c r="H13" s="103">
        <v>0</v>
      </c>
      <c r="I13" s="103">
        <f>G13+H13</f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0">
        <v>0</v>
      </c>
      <c r="P13" s="100"/>
      <c r="Q13" s="103">
        <f>ROUND(I13-SUM(J13:O13),0)</f>
        <v>0</v>
      </c>
      <c r="R13" s="19"/>
      <c r="S13" s="103">
        <v>126563</v>
      </c>
      <c r="T13" s="65" t="s">
        <v>257</v>
      </c>
      <c r="U13" s="62"/>
    </row>
    <row r="14" spans="1:78" s="60" customFormat="1" x14ac:dyDescent="0.25">
      <c r="A14" s="59">
        <v>57723</v>
      </c>
      <c r="B14" s="106"/>
      <c r="C14" s="107"/>
      <c r="D14" s="108"/>
      <c r="E14" s="109"/>
      <c r="F14" s="109">
        <v>0</v>
      </c>
      <c r="G14" s="109">
        <f>ROUND(E14-F14,)</f>
        <v>0</v>
      </c>
      <c r="H14" s="110">
        <f>ROUND(G14*H9,0)</f>
        <v>0</v>
      </c>
      <c r="I14" s="109">
        <f>G14+H14</f>
        <v>0</v>
      </c>
      <c r="J14" s="110">
        <f>ROUND(G14*$J$9,)</f>
        <v>0</v>
      </c>
      <c r="K14" s="110">
        <f>ROUND(G14*$K$9,)</f>
        <v>0</v>
      </c>
      <c r="L14" s="110">
        <f>ROUND(G14*10%,)</f>
        <v>0</v>
      </c>
      <c r="M14" s="110">
        <f>ROUND(G14*$M$9,)</f>
        <v>0</v>
      </c>
      <c r="N14" s="110">
        <f>H14</f>
        <v>0</v>
      </c>
      <c r="O14" s="111"/>
      <c r="P14" s="111"/>
      <c r="Q14" s="109">
        <f>ROUND(I14-SUM(J14:O14),0)</f>
        <v>0</v>
      </c>
      <c r="R14" s="59">
        <v>57723</v>
      </c>
      <c r="S14" s="109"/>
      <c r="T14" s="109"/>
      <c r="U14" s="64">
        <f>SUM(Q11:Q13,0)-SUM(S11:S13,0)</f>
        <v>396999.5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</row>
    <row r="15" spans="1:78" ht="28.5" x14ac:dyDescent="0.25">
      <c r="A15" s="59">
        <v>57723</v>
      </c>
      <c r="B15" s="112" t="s">
        <v>287</v>
      </c>
      <c r="C15" s="101"/>
      <c r="D15" s="118"/>
      <c r="E15" s="103"/>
      <c r="F15" s="103"/>
      <c r="G15" s="103">
        <v>0</v>
      </c>
      <c r="H15" s="103">
        <v>0</v>
      </c>
      <c r="I15" s="103">
        <v>0</v>
      </c>
      <c r="J15" s="103">
        <f>J$9*I15</f>
        <v>0</v>
      </c>
      <c r="K15" s="103">
        <v>0</v>
      </c>
      <c r="L15" s="103"/>
      <c r="M15" s="103"/>
      <c r="N15" s="103">
        <v>0</v>
      </c>
      <c r="O15" s="100"/>
      <c r="P15" s="100"/>
      <c r="Q15" s="103"/>
      <c r="R15" s="19"/>
      <c r="S15" s="116">
        <v>198000</v>
      </c>
      <c r="T15" s="65" t="s">
        <v>23</v>
      </c>
      <c r="U15" s="62" t="s">
        <v>90</v>
      </c>
    </row>
    <row r="16" spans="1:78" x14ac:dyDescent="0.25">
      <c r="A16" s="19"/>
      <c r="B16" s="100"/>
      <c r="C16" s="101"/>
      <c r="D16" s="102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0"/>
      <c r="P16" s="100"/>
      <c r="Q16" s="103"/>
      <c r="R16" s="19"/>
      <c r="S16" s="103"/>
      <c r="T16" s="65"/>
      <c r="U16" s="62"/>
    </row>
    <row r="17" spans="1:78" s="60" customFormat="1" x14ac:dyDescent="0.25">
      <c r="A17" s="59">
        <v>57202</v>
      </c>
      <c r="B17" s="106"/>
      <c r="C17" s="107"/>
      <c r="D17" s="108"/>
      <c r="E17" s="109"/>
      <c r="F17" s="109"/>
      <c r="G17" s="109"/>
      <c r="H17" s="110"/>
      <c r="I17" s="109"/>
      <c r="J17" s="110"/>
      <c r="K17" s="110"/>
      <c r="L17" s="110"/>
      <c r="M17" s="110"/>
      <c r="N17" s="110"/>
      <c r="O17" s="111"/>
      <c r="P17" s="111"/>
      <c r="Q17" s="109"/>
      <c r="R17" s="59">
        <v>57202</v>
      </c>
      <c r="S17" s="109"/>
      <c r="T17" s="109"/>
      <c r="U17" s="64">
        <f>SUM(Q14:Q16,0)-SUM(S14:S16,0)</f>
        <v>-198000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</row>
    <row r="18" spans="1:78" ht="28.5" customHeight="1" x14ac:dyDescent="0.25">
      <c r="A18" s="59">
        <v>57202</v>
      </c>
      <c r="B18" s="112" t="s">
        <v>77</v>
      </c>
      <c r="C18" s="113">
        <v>45192</v>
      </c>
      <c r="D18" s="114">
        <v>15</v>
      </c>
      <c r="E18" s="103">
        <f>2475000*5%</f>
        <v>123750</v>
      </c>
      <c r="F18" s="103">
        <v>0</v>
      </c>
      <c r="G18" s="103">
        <f>ROUND(E18-F18,)</f>
        <v>123750</v>
      </c>
      <c r="H18" s="103">
        <f>G18*18%</f>
        <v>22275</v>
      </c>
      <c r="I18" s="103">
        <f>G18+H18</f>
        <v>146025</v>
      </c>
      <c r="J18" s="103">
        <f>ROUND(G18*$J$9,)</f>
        <v>1238</v>
      </c>
      <c r="K18" s="103">
        <f>ROUND(G18*$K$9,)</f>
        <v>6188</v>
      </c>
      <c r="L18" s="103"/>
      <c r="M18" s="103"/>
      <c r="N18" s="115">
        <f>H18</f>
        <v>22275</v>
      </c>
      <c r="O18" s="103">
        <v>0</v>
      </c>
      <c r="P18" s="103">
        <v>23750</v>
      </c>
      <c r="Q18" s="116">
        <f>ROUND(I18-SUM(J18:O18),0)</f>
        <v>116324</v>
      </c>
      <c r="R18" s="19" t="s">
        <v>231</v>
      </c>
      <c r="S18" s="116">
        <v>99000</v>
      </c>
      <c r="T18" s="65" t="s">
        <v>24</v>
      </c>
      <c r="U18" s="62" t="s">
        <v>91</v>
      </c>
    </row>
    <row r="19" spans="1:78" x14ac:dyDescent="0.25">
      <c r="A19" s="59">
        <v>57202</v>
      </c>
      <c r="B19" s="100" t="s">
        <v>193</v>
      </c>
      <c r="C19" s="101"/>
      <c r="D19" s="114">
        <v>15</v>
      </c>
      <c r="E19" s="103">
        <f>N18</f>
        <v>22275</v>
      </c>
      <c r="F19" s="103"/>
      <c r="G19" s="103"/>
      <c r="H19" s="103"/>
      <c r="I19" s="103"/>
      <c r="J19" s="103"/>
      <c r="K19" s="103"/>
      <c r="L19" s="103"/>
      <c r="M19" s="103"/>
      <c r="N19" s="103"/>
      <c r="O19" s="100"/>
      <c r="P19" s="100"/>
      <c r="Q19" s="115">
        <f>E19</f>
        <v>22275</v>
      </c>
      <c r="R19" s="19"/>
      <c r="S19" s="116">
        <v>17324</v>
      </c>
      <c r="T19" s="65" t="s">
        <v>80</v>
      </c>
      <c r="U19" s="62"/>
    </row>
    <row r="20" spans="1:78" x14ac:dyDescent="0.25">
      <c r="A20" s="19"/>
      <c r="B20" s="100"/>
      <c r="C20" s="101"/>
      <c r="D20" s="114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0"/>
      <c r="P20" s="100"/>
      <c r="Q20" s="119"/>
      <c r="R20" s="19"/>
      <c r="S20" s="103">
        <v>22275</v>
      </c>
      <c r="T20" s="65" t="s">
        <v>259</v>
      </c>
      <c r="U20" s="62"/>
    </row>
    <row r="21" spans="1:78" s="60" customFormat="1" x14ac:dyDescent="0.25">
      <c r="A21" s="59">
        <v>57201</v>
      </c>
      <c r="B21" s="106"/>
      <c r="C21" s="107"/>
      <c r="D21" s="108"/>
      <c r="E21" s="109"/>
      <c r="F21" s="109"/>
      <c r="G21" s="109"/>
      <c r="H21" s="110"/>
      <c r="I21" s="109"/>
      <c r="J21" s="110"/>
      <c r="K21" s="110"/>
      <c r="L21" s="110"/>
      <c r="M21" s="110"/>
      <c r="N21" s="110"/>
      <c r="O21" s="111"/>
      <c r="P21" s="111"/>
      <c r="Q21" s="109"/>
      <c r="R21" s="59">
        <v>57201</v>
      </c>
      <c r="S21" s="109"/>
      <c r="T21" s="109"/>
      <c r="U21" s="64">
        <f>SUM(Q18:Q20,0)-SUM(S18:S20,0)</f>
        <v>0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</row>
    <row r="22" spans="1:78" ht="77.25" customHeight="1" x14ac:dyDescent="0.25">
      <c r="A22" s="59">
        <v>57201</v>
      </c>
      <c r="B22" s="100" t="s">
        <v>290</v>
      </c>
      <c r="C22" s="101"/>
      <c r="D22" s="102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0"/>
      <c r="P22" s="100"/>
      <c r="Q22" s="103"/>
      <c r="R22" s="19">
        <v>57724</v>
      </c>
      <c r="S22" s="116">
        <v>99000</v>
      </c>
      <c r="T22" s="65" t="s">
        <v>25</v>
      </c>
      <c r="U22" s="62" t="s">
        <v>91</v>
      </c>
    </row>
    <row r="23" spans="1:78" x14ac:dyDescent="0.25">
      <c r="A23" s="19"/>
      <c r="B23" s="100"/>
      <c r="C23" s="101"/>
      <c r="D23" s="102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0"/>
      <c r="P23" s="100"/>
      <c r="Q23" s="103"/>
      <c r="R23" s="19"/>
      <c r="S23" s="103"/>
      <c r="T23" s="65"/>
      <c r="U23" s="62"/>
    </row>
    <row r="24" spans="1:78" s="60" customFormat="1" x14ac:dyDescent="0.25">
      <c r="A24" s="59">
        <v>57200</v>
      </c>
      <c r="B24" s="106"/>
      <c r="C24" s="107"/>
      <c r="D24" s="108"/>
      <c r="E24" s="109"/>
      <c r="F24" s="109"/>
      <c r="G24" s="109"/>
      <c r="H24" s="110"/>
      <c r="I24" s="109"/>
      <c r="J24" s="110"/>
      <c r="K24" s="110"/>
      <c r="L24" s="110"/>
      <c r="M24" s="110"/>
      <c r="N24" s="110"/>
      <c r="O24" s="111"/>
      <c r="P24" s="111"/>
      <c r="Q24" s="109"/>
      <c r="R24" s="59">
        <v>57200</v>
      </c>
      <c r="S24" s="109"/>
      <c r="T24" s="109"/>
      <c r="U24" s="64">
        <f>SUM(Q22:Q23,0)-SUM(S22:S23,0)</f>
        <v>-99000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</row>
    <row r="25" spans="1:78" ht="46.5" customHeight="1" x14ac:dyDescent="0.25">
      <c r="A25" s="59">
        <v>57200</v>
      </c>
      <c r="B25" s="100" t="s">
        <v>289</v>
      </c>
      <c r="C25" s="101"/>
      <c r="D25" s="102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0"/>
      <c r="P25" s="100"/>
      <c r="Q25" s="103"/>
      <c r="R25" s="19">
        <v>57724</v>
      </c>
      <c r="S25" s="116">
        <v>99000</v>
      </c>
      <c r="T25" s="120" t="s">
        <v>26</v>
      </c>
      <c r="U25" s="62" t="s">
        <v>91</v>
      </c>
    </row>
    <row r="26" spans="1:78" x14ac:dyDescent="0.25">
      <c r="A26" s="19"/>
      <c r="B26" s="100"/>
      <c r="C26" s="101"/>
      <c r="D26" s="102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0"/>
      <c r="P26" s="100"/>
      <c r="Q26" s="103"/>
      <c r="R26" s="19"/>
      <c r="S26" s="103">
        <v>297000</v>
      </c>
      <c r="T26" s="65" t="s">
        <v>278</v>
      </c>
      <c r="U26" s="62"/>
    </row>
    <row r="27" spans="1:78" s="60" customFormat="1" x14ac:dyDescent="0.25">
      <c r="B27" s="106"/>
      <c r="C27" s="107"/>
      <c r="D27" s="108"/>
      <c r="E27" s="109"/>
      <c r="F27" s="109"/>
      <c r="G27" s="109"/>
      <c r="H27" s="110"/>
      <c r="I27" s="109"/>
      <c r="J27" s="110"/>
      <c r="K27" s="110"/>
      <c r="L27" s="110"/>
      <c r="M27" s="110"/>
      <c r="N27" s="110"/>
      <c r="O27" s="111"/>
      <c r="P27" s="111"/>
      <c r="Q27" s="109"/>
      <c r="R27" s="59">
        <v>57199</v>
      </c>
      <c r="S27" s="109"/>
      <c r="T27" s="109"/>
      <c r="U27" s="64">
        <f>SUM(Q24:Q26,0)-SUM(S24:S26,0)</f>
        <v>-396000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</row>
    <row r="28" spans="1:78" ht="66" customHeight="1" x14ac:dyDescent="0.25">
      <c r="A28" s="59">
        <v>57199</v>
      </c>
      <c r="B28" s="100" t="s">
        <v>288</v>
      </c>
      <c r="C28" s="101"/>
      <c r="D28" s="102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0"/>
      <c r="P28" s="100"/>
      <c r="Q28" s="103"/>
      <c r="R28" s="19">
        <v>57724</v>
      </c>
      <c r="S28" s="116">
        <v>99000</v>
      </c>
      <c r="T28" s="65" t="s">
        <v>27</v>
      </c>
      <c r="U28" s="62" t="s">
        <v>91</v>
      </c>
    </row>
    <row r="29" spans="1:78" x14ac:dyDescent="0.25">
      <c r="A29" s="19"/>
      <c r="B29" s="100"/>
      <c r="C29" s="101"/>
      <c r="D29" s="102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0"/>
      <c r="P29" s="100"/>
      <c r="Q29" s="103"/>
      <c r="R29" s="19"/>
      <c r="S29" s="103">
        <v>198000</v>
      </c>
      <c r="T29" s="65" t="s">
        <v>279</v>
      </c>
      <c r="U29" s="62"/>
    </row>
    <row r="30" spans="1:78" s="60" customFormat="1" x14ac:dyDescent="0.25">
      <c r="A30" s="59">
        <v>54234</v>
      </c>
      <c r="B30" s="106"/>
      <c r="C30" s="107"/>
      <c r="D30" s="108"/>
      <c r="E30" s="109"/>
      <c r="F30" s="109"/>
      <c r="G30" s="109"/>
      <c r="H30" s="110"/>
      <c r="I30" s="109"/>
      <c r="J30" s="110"/>
      <c r="K30" s="110"/>
      <c r="L30" s="110"/>
      <c r="M30" s="110"/>
      <c r="N30" s="110"/>
      <c r="O30" s="111"/>
      <c r="P30" s="111"/>
      <c r="Q30" s="109"/>
      <c r="R30" s="59">
        <v>54234</v>
      </c>
      <c r="S30" s="109"/>
      <c r="T30" s="109"/>
      <c r="U30" s="64">
        <f>SUM(Q27:Q29,0)-SUM(S27:S29,0)</f>
        <v>-297000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</row>
    <row r="31" spans="1:78" x14ac:dyDescent="0.25">
      <c r="A31" s="59">
        <v>54234</v>
      </c>
      <c r="B31" s="100" t="s">
        <v>28</v>
      </c>
      <c r="C31" s="101">
        <v>44919</v>
      </c>
      <c r="D31" s="102">
        <v>5</v>
      </c>
      <c r="E31" s="103">
        <v>534736</v>
      </c>
      <c r="F31" s="103">
        <v>0</v>
      </c>
      <c r="G31" s="103">
        <v>534736</v>
      </c>
      <c r="H31" s="103">
        <v>96252</v>
      </c>
      <c r="I31" s="103">
        <v>630988</v>
      </c>
      <c r="J31" s="103">
        <v>5347.36</v>
      </c>
      <c r="K31" s="103">
        <v>26736.800000000003</v>
      </c>
      <c r="L31" s="103">
        <v>53473.600000000006</v>
      </c>
      <c r="M31" s="103">
        <v>53473.600000000006</v>
      </c>
      <c r="N31" s="115">
        <v>96252</v>
      </c>
      <c r="O31" s="100">
        <v>43129</v>
      </c>
      <c r="P31" s="100"/>
      <c r="Q31" s="116">
        <v>352576</v>
      </c>
      <c r="R31" s="19"/>
      <c r="S31" s="116">
        <v>352575</v>
      </c>
      <c r="T31" s="65" t="s">
        <v>29</v>
      </c>
      <c r="U31" s="62"/>
    </row>
    <row r="32" spans="1:78" x14ac:dyDescent="0.25">
      <c r="A32" s="59">
        <v>54234</v>
      </c>
      <c r="B32" s="100" t="s">
        <v>30</v>
      </c>
      <c r="C32" s="101">
        <v>44942</v>
      </c>
      <c r="D32" s="102">
        <v>5</v>
      </c>
      <c r="E32" s="103">
        <v>96252</v>
      </c>
      <c r="F32" s="103">
        <v>0</v>
      </c>
      <c r="G32" s="103">
        <v>96252</v>
      </c>
      <c r="H32" s="103">
        <v>0</v>
      </c>
      <c r="I32" s="103">
        <v>96252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0">
        <v>0</v>
      </c>
      <c r="P32" s="100"/>
      <c r="Q32" s="115">
        <v>96252</v>
      </c>
      <c r="R32" s="19"/>
      <c r="S32" s="116">
        <v>96252</v>
      </c>
      <c r="T32" s="65" t="s">
        <v>31</v>
      </c>
      <c r="U32" s="62"/>
    </row>
    <row r="33" spans="1:78" x14ac:dyDescent="0.25">
      <c r="A33" s="59">
        <v>54234</v>
      </c>
      <c r="B33" s="100" t="s">
        <v>28</v>
      </c>
      <c r="C33" s="101">
        <v>44957</v>
      </c>
      <c r="D33" s="102">
        <v>7</v>
      </c>
      <c r="E33" s="103">
        <v>605360</v>
      </c>
      <c r="F33" s="103">
        <v>39560.400000000001</v>
      </c>
      <c r="G33" s="103">
        <v>565799.6</v>
      </c>
      <c r="H33" s="103">
        <v>101844</v>
      </c>
      <c r="I33" s="103">
        <v>667643.6</v>
      </c>
      <c r="J33" s="103">
        <v>5657.9960000000001</v>
      </c>
      <c r="K33" s="103">
        <v>28289.98</v>
      </c>
      <c r="L33" s="103">
        <v>56579.96</v>
      </c>
      <c r="M33" s="103">
        <v>56579.96</v>
      </c>
      <c r="N33" s="115">
        <v>101844</v>
      </c>
      <c r="O33" s="100">
        <v>62783</v>
      </c>
      <c r="P33" s="100"/>
      <c r="Q33" s="116">
        <v>355909</v>
      </c>
      <c r="R33" s="19"/>
      <c r="S33" s="116">
        <v>198000</v>
      </c>
      <c r="T33" s="65" t="s">
        <v>32</v>
      </c>
      <c r="U33" s="62"/>
    </row>
    <row r="34" spans="1:78" x14ac:dyDescent="0.25">
      <c r="A34" s="59">
        <v>54234</v>
      </c>
      <c r="B34" s="100" t="s">
        <v>28</v>
      </c>
      <c r="C34" s="101">
        <v>45024</v>
      </c>
      <c r="D34" s="102">
        <v>1</v>
      </c>
      <c r="E34" s="103">
        <v>303939</v>
      </c>
      <c r="F34" s="103">
        <v>0</v>
      </c>
      <c r="G34" s="103">
        <v>303939</v>
      </c>
      <c r="H34" s="103">
        <v>54709</v>
      </c>
      <c r="I34" s="103">
        <v>358648</v>
      </c>
      <c r="J34" s="103">
        <v>3039.39</v>
      </c>
      <c r="K34" s="103">
        <v>15196.95</v>
      </c>
      <c r="L34" s="103">
        <v>15196.95</v>
      </c>
      <c r="M34" s="103">
        <v>30393.9</v>
      </c>
      <c r="N34" s="115">
        <v>54709</v>
      </c>
      <c r="O34" s="100"/>
      <c r="P34" s="100"/>
      <c r="Q34" s="116">
        <v>240112</v>
      </c>
      <c r="R34" s="19"/>
      <c r="S34" s="116">
        <v>157909</v>
      </c>
      <c r="T34" s="65" t="s">
        <v>33</v>
      </c>
      <c r="U34" s="62"/>
    </row>
    <row r="35" spans="1:78" x14ac:dyDescent="0.25">
      <c r="A35" s="59">
        <v>54234</v>
      </c>
      <c r="B35" s="100" t="s">
        <v>30</v>
      </c>
      <c r="C35" s="101">
        <v>44975</v>
      </c>
      <c r="D35" s="102">
        <v>7</v>
      </c>
      <c r="E35" s="103">
        <v>101844</v>
      </c>
      <c r="F35" s="103"/>
      <c r="G35" s="103"/>
      <c r="H35" s="103"/>
      <c r="I35" s="103"/>
      <c r="J35" s="103"/>
      <c r="K35" s="103"/>
      <c r="L35" s="103"/>
      <c r="M35" s="103"/>
      <c r="N35" s="103"/>
      <c r="O35" s="100"/>
      <c r="P35" s="100"/>
      <c r="Q35" s="115">
        <v>101844</v>
      </c>
      <c r="R35" s="19"/>
      <c r="S35" s="116">
        <v>101844</v>
      </c>
      <c r="T35" s="65" t="s">
        <v>50</v>
      </c>
      <c r="U35" s="62"/>
    </row>
    <row r="36" spans="1:78" x14ac:dyDescent="0.25">
      <c r="A36" s="59">
        <v>54234</v>
      </c>
      <c r="B36" s="100" t="s">
        <v>30</v>
      </c>
      <c r="C36" s="101">
        <v>45069</v>
      </c>
      <c r="D36" s="102">
        <v>1</v>
      </c>
      <c r="E36" s="103">
        <v>54709</v>
      </c>
      <c r="F36" s="103"/>
      <c r="G36" s="103"/>
      <c r="H36" s="103"/>
      <c r="I36" s="103"/>
      <c r="J36" s="103"/>
      <c r="K36" s="103"/>
      <c r="L36" s="103"/>
      <c r="M36" s="103"/>
      <c r="N36" s="103"/>
      <c r="O36" s="100"/>
      <c r="P36" s="100"/>
      <c r="Q36" s="115">
        <v>54709</v>
      </c>
      <c r="R36" s="19"/>
      <c r="S36" s="116">
        <v>198000</v>
      </c>
      <c r="T36" s="65" t="s">
        <v>34</v>
      </c>
      <c r="U36" s="62"/>
    </row>
    <row r="37" spans="1:78" x14ac:dyDescent="0.25">
      <c r="A37" s="59">
        <v>54234</v>
      </c>
      <c r="B37" s="100" t="s">
        <v>28</v>
      </c>
      <c r="C37" s="101">
        <v>45024</v>
      </c>
      <c r="D37" s="102" t="s">
        <v>213</v>
      </c>
      <c r="E37" s="103">
        <v>282452</v>
      </c>
      <c r="F37" s="103">
        <v>1480</v>
      </c>
      <c r="G37" s="103">
        <f>E37-F37</f>
        <v>280972</v>
      </c>
      <c r="H37" s="103">
        <f>G37*18%</f>
        <v>50574.96</v>
      </c>
      <c r="I37" s="103">
        <f>G37+H37</f>
        <v>331546.96000000002</v>
      </c>
      <c r="J37" s="103">
        <f>G37*1%</f>
        <v>2809.7200000000003</v>
      </c>
      <c r="K37" s="103">
        <f>5%*G37</f>
        <v>14048.6</v>
      </c>
      <c r="L37" s="103">
        <f>5%*G37</f>
        <v>14048.6</v>
      </c>
      <c r="M37" s="103">
        <f>10%*G37</f>
        <v>28097.200000000001</v>
      </c>
      <c r="N37" s="115">
        <f>H37</f>
        <v>50574.96</v>
      </c>
      <c r="O37" s="100"/>
      <c r="P37" s="100">
        <v>56195</v>
      </c>
      <c r="Q37" s="116">
        <f>G37-J37-K37-L37-M37</f>
        <v>221967.88000000003</v>
      </c>
      <c r="R37" s="19" t="s">
        <v>228</v>
      </c>
      <c r="S37" s="116">
        <v>42112</v>
      </c>
      <c r="T37" s="65" t="s">
        <v>35</v>
      </c>
      <c r="U37" s="62"/>
    </row>
    <row r="38" spans="1:78" x14ac:dyDescent="0.25">
      <c r="A38" s="59">
        <v>54234</v>
      </c>
      <c r="B38" s="100" t="s">
        <v>30</v>
      </c>
      <c r="C38" s="101"/>
      <c r="D38" s="102" t="s">
        <v>213</v>
      </c>
      <c r="E38" s="103">
        <f>N37</f>
        <v>50574.96</v>
      </c>
      <c r="F38" s="103"/>
      <c r="G38" s="103"/>
      <c r="H38" s="103"/>
      <c r="I38" s="103"/>
      <c r="J38" s="103"/>
      <c r="K38" s="103"/>
      <c r="L38" s="103"/>
      <c r="M38" s="103"/>
      <c r="N38" s="103"/>
      <c r="O38" s="100"/>
      <c r="P38" s="100"/>
      <c r="Q38" s="115">
        <f>E38</f>
        <v>50574.96</v>
      </c>
      <c r="R38" s="19"/>
      <c r="S38" s="116">
        <v>54709</v>
      </c>
      <c r="T38" s="65" t="s">
        <v>36</v>
      </c>
      <c r="U38" s="62"/>
    </row>
    <row r="39" spans="1:78" x14ac:dyDescent="0.25">
      <c r="A39" s="59">
        <v>54234</v>
      </c>
      <c r="B39" s="100" t="s">
        <v>28</v>
      </c>
      <c r="C39" s="101">
        <v>45425</v>
      </c>
      <c r="D39" s="102">
        <v>4</v>
      </c>
      <c r="E39" s="103">
        <v>678566</v>
      </c>
      <c r="F39" s="103"/>
      <c r="G39" s="103">
        <f>E39-F39</f>
        <v>678566</v>
      </c>
      <c r="H39" s="103">
        <f>G39*18%</f>
        <v>122141.87999999999</v>
      </c>
      <c r="I39" s="103">
        <f>G39+H39</f>
        <v>800707.88</v>
      </c>
      <c r="J39" s="103">
        <f>G39*1%</f>
        <v>6785.66</v>
      </c>
      <c r="K39" s="103">
        <f>5%*G39</f>
        <v>33928.300000000003</v>
      </c>
      <c r="L39" s="103">
        <f>10%*G39</f>
        <v>67856.600000000006</v>
      </c>
      <c r="M39" s="103">
        <f>10%*G39</f>
        <v>67856.600000000006</v>
      </c>
      <c r="N39" s="103">
        <f>H39</f>
        <v>122141.87999999999</v>
      </c>
      <c r="O39" s="100"/>
      <c r="P39" s="100"/>
      <c r="Q39" s="116">
        <f>G39-J39-K39-L39-M39</f>
        <v>502138.83999999997</v>
      </c>
      <c r="R39" s="19"/>
      <c r="S39" s="116">
        <v>196000</v>
      </c>
      <c r="T39" s="65" t="s">
        <v>62</v>
      </c>
      <c r="U39" s="62"/>
    </row>
    <row r="40" spans="1:78" x14ac:dyDescent="0.25">
      <c r="A40" s="19"/>
      <c r="B40" s="100"/>
      <c r="C40" s="101"/>
      <c r="D40" s="102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0"/>
      <c r="P40" s="100"/>
      <c r="Q40" s="103"/>
      <c r="R40" s="19"/>
      <c r="S40" s="116">
        <v>25968</v>
      </c>
      <c r="T40" s="65" t="s">
        <v>69</v>
      </c>
      <c r="U40" s="62"/>
    </row>
    <row r="41" spans="1:78" x14ac:dyDescent="0.25">
      <c r="A41" s="19"/>
      <c r="B41" s="100"/>
      <c r="C41" s="101"/>
      <c r="D41" s="102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0"/>
      <c r="P41" s="100"/>
      <c r="Q41" s="103"/>
      <c r="R41" s="19"/>
      <c r="S41" s="116">
        <v>49500</v>
      </c>
      <c r="T41" s="65" t="s">
        <v>194</v>
      </c>
      <c r="U41" s="62"/>
    </row>
    <row r="42" spans="1:78" x14ac:dyDescent="0.25">
      <c r="A42" s="19"/>
      <c r="B42" s="100"/>
      <c r="C42" s="101"/>
      <c r="D42" s="102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0"/>
      <c r="P42" s="100"/>
      <c r="Q42" s="103"/>
      <c r="R42" s="19"/>
      <c r="S42" s="116">
        <v>49500</v>
      </c>
      <c r="T42" s="65" t="s">
        <v>238</v>
      </c>
      <c r="U42" s="62"/>
    </row>
    <row r="43" spans="1:78" x14ac:dyDescent="0.25">
      <c r="A43" s="19"/>
      <c r="B43" s="100"/>
      <c r="C43" s="101"/>
      <c r="D43" s="102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0"/>
      <c r="P43" s="100"/>
      <c r="Q43" s="103"/>
      <c r="R43" s="19"/>
      <c r="S43" s="103">
        <v>400328</v>
      </c>
      <c r="T43" s="65" t="s">
        <v>260</v>
      </c>
      <c r="U43" s="62"/>
    </row>
    <row r="44" spans="1:78" x14ac:dyDescent="0.25">
      <c r="A44" s="19"/>
      <c r="B44" s="100"/>
      <c r="C44" s="101"/>
      <c r="D44" s="102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0"/>
      <c r="P44" s="100"/>
      <c r="Q44" s="103"/>
      <c r="R44" s="19"/>
      <c r="S44" s="103">
        <v>49500</v>
      </c>
      <c r="T44" s="65" t="s">
        <v>274</v>
      </c>
      <c r="U44" s="62"/>
    </row>
    <row r="45" spans="1:78" s="60" customFormat="1" x14ac:dyDescent="0.25">
      <c r="A45" s="59">
        <v>54217</v>
      </c>
      <c r="B45" s="106"/>
      <c r="C45" s="107"/>
      <c r="D45" s="108"/>
      <c r="E45" s="109"/>
      <c r="F45" s="109"/>
      <c r="G45" s="109"/>
      <c r="H45" s="110"/>
      <c r="I45" s="109"/>
      <c r="J45" s="110"/>
      <c r="K45" s="110"/>
      <c r="L45" s="110"/>
      <c r="M45" s="110"/>
      <c r="N45" s="110"/>
      <c r="O45" s="111"/>
      <c r="P45" s="111"/>
      <c r="Q45" s="109"/>
      <c r="R45" s="59">
        <v>54217</v>
      </c>
      <c r="S45" s="109"/>
      <c r="T45" s="109"/>
      <c r="U45" s="64">
        <f>SUM(Q31:Q44,0)-SUM(S31:S44,0)</f>
        <v>3886.6800000001676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</row>
    <row r="46" spans="1:78" x14ac:dyDescent="0.25">
      <c r="A46" s="59">
        <v>54217</v>
      </c>
      <c r="B46" s="100" t="s">
        <v>49</v>
      </c>
      <c r="C46" s="101">
        <v>44919</v>
      </c>
      <c r="D46" s="102">
        <v>4</v>
      </c>
      <c r="E46" s="103">
        <v>448841</v>
      </c>
      <c r="F46" s="103">
        <v>0</v>
      </c>
      <c r="G46" s="103">
        <v>448841</v>
      </c>
      <c r="H46" s="103">
        <v>80791</v>
      </c>
      <c r="I46" s="103">
        <v>529632</v>
      </c>
      <c r="J46" s="103">
        <v>4488</v>
      </c>
      <c r="K46" s="103">
        <v>22442</v>
      </c>
      <c r="L46" s="103">
        <v>44884</v>
      </c>
      <c r="M46" s="103">
        <v>44884</v>
      </c>
      <c r="N46" s="115">
        <v>80791</v>
      </c>
      <c r="O46" s="100">
        <v>33952</v>
      </c>
      <c r="P46" s="100"/>
      <c r="Q46" s="116">
        <v>298191</v>
      </c>
      <c r="R46" s="19"/>
      <c r="S46" s="116">
        <v>200000</v>
      </c>
      <c r="T46" s="65" t="s">
        <v>45</v>
      </c>
      <c r="U46" s="62"/>
    </row>
    <row r="47" spans="1:78" x14ac:dyDescent="0.25">
      <c r="A47" s="59">
        <v>54217</v>
      </c>
      <c r="B47" s="100" t="s">
        <v>21</v>
      </c>
      <c r="C47" s="101"/>
      <c r="D47" s="102">
        <v>4</v>
      </c>
      <c r="E47" s="103">
        <v>80791</v>
      </c>
      <c r="F47" s="103"/>
      <c r="G47" s="103">
        <v>80791</v>
      </c>
      <c r="H47" s="103">
        <v>0</v>
      </c>
      <c r="I47" s="103">
        <v>80791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0">
        <v>0</v>
      </c>
      <c r="P47" s="100"/>
      <c r="Q47" s="115">
        <v>80791</v>
      </c>
      <c r="R47" s="19"/>
      <c r="S47" s="116">
        <v>80791</v>
      </c>
      <c r="T47" s="65" t="s">
        <v>46</v>
      </c>
      <c r="U47" s="62"/>
    </row>
    <row r="48" spans="1:78" x14ac:dyDescent="0.25">
      <c r="A48" s="59">
        <v>54217</v>
      </c>
      <c r="B48" s="112" t="s">
        <v>49</v>
      </c>
      <c r="C48" s="113">
        <v>45157</v>
      </c>
      <c r="D48" s="114" t="s">
        <v>212</v>
      </c>
      <c r="E48" s="103">
        <v>438425</v>
      </c>
      <c r="F48" s="103"/>
      <c r="G48" s="103">
        <f>E48-F48</f>
        <v>438425</v>
      </c>
      <c r="H48" s="103">
        <f>G48*18%</f>
        <v>78916.5</v>
      </c>
      <c r="I48" s="103">
        <f>G48+H48</f>
        <v>517341.5</v>
      </c>
      <c r="J48" s="103">
        <f>ROUND(G48*$J$9,)</f>
        <v>4384</v>
      </c>
      <c r="K48" s="103">
        <f>ROUND(G48*$K$9,)</f>
        <v>21921</v>
      </c>
      <c r="L48" s="103">
        <f>ROUND(G48*5%,)</f>
        <v>21921</v>
      </c>
      <c r="M48" s="103">
        <f>ROUND(G48*$M$9,)</f>
        <v>43843</v>
      </c>
      <c r="N48" s="115">
        <f>H48</f>
        <v>78916.5</v>
      </c>
      <c r="O48" s="103"/>
      <c r="P48" s="103">
        <v>87685</v>
      </c>
      <c r="Q48" s="116">
        <f>ROUND(I48-SUM(J48:O48),0)</f>
        <v>346356</v>
      </c>
      <c r="R48" s="19" t="s">
        <v>226</v>
      </c>
      <c r="S48" s="116">
        <v>98191</v>
      </c>
      <c r="T48" s="65" t="s">
        <v>47</v>
      </c>
      <c r="U48" s="62"/>
    </row>
    <row r="49" spans="1:78" x14ac:dyDescent="0.25">
      <c r="A49" s="59">
        <v>54217</v>
      </c>
      <c r="B49" s="100" t="s">
        <v>21</v>
      </c>
      <c r="C49" s="101"/>
      <c r="D49" s="102" t="s">
        <v>212</v>
      </c>
      <c r="E49" s="103">
        <f>N48</f>
        <v>78916.5</v>
      </c>
      <c r="F49" s="103"/>
      <c r="G49" s="103"/>
      <c r="H49" s="103"/>
      <c r="I49" s="103"/>
      <c r="J49" s="103"/>
      <c r="K49" s="103"/>
      <c r="L49" s="103"/>
      <c r="M49" s="103"/>
      <c r="N49" s="103"/>
      <c r="O49" s="100"/>
      <c r="P49" s="100"/>
      <c r="Q49" s="115">
        <f>E49</f>
        <v>78916.5</v>
      </c>
      <c r="R49" s="19"/>
      <c r="S49" s="116">
        <v>346356</v>
      </c>
      <c r="T49" s="65" t="s">
        <v>70</v>
      </c>
      <c r="U49" s="62"/>
    </row>
    <row r="50" spans="1:78" x14ac:dyDescent="0.25">
      <c r="A50" s="19"/>
      <c r="B50" s="100"/>
      <c r="C50" s="101"/>
      <c r="D50" s="102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0"/>
      <c r="P50" s="100"/>
      <c r="Q50" s="103"/>
      <c r="R50" s="19"/>
      <c r="S50" s="116">
        <v>74250</v>
      </c>
      <c r="T50" s="65" t="s">
        <v>195</v>
      </c>
      <c r="U50" s="62"/>
    </row>
    <row r="51" spans="1:78" s="60" customFormat="1" x14ac:dyDescent="0.25">
      <c r="A51" s="59">
        <v>52830</v>
      </c>
      <c r="B51" s="106"/>
      <c r="C51" s="107"/>
      <c r="D51" s="108"/>
      <c r="E51" s="109"/>
      <c r="F51" s="109"/>
      <c r="G51" s="109"/>
      <c r="H51" s="110"/>
      <c r="I51" s="109"/>
      <c r="J51" s="110"/>
      <c r="K51" s="110"/>
      <c r="L51" s="110"/>
      <c r="M51" s="110"/>
      <c r="N51" s="110"/>
      <c r="O51" s="111"/>
      <c r="P51" s="111"/>
      <c r="Q51" s="109"/>
      <c r="R51" s="59">
        <v>52830</v>
      </c>
      <c r="S51" s="109"/>
      <c r="T51" s="109"/>
      <c r="U51" s="64">
        <f>SUM(Q46:Q50,0)-SUM(S46:S50,0)</f>
        <v>4666.5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</row>
    <row r="52" spans="1:78" x14ac:dyDescent="0.25">
      <c r="A52" s="59">
        <v>52830</v>
      </c>
      <c r="B52" s="112" t="s">
        <v>66</v>
      </c>
      <c r="C52" s="113">
        <v>44880</v>
      </c>
      <c r="D52" s="114">
        <v>1</v>
      </c>
      <c r="E52" s="103">
        <v>2016203.5</v>
      </c>
      <c r="F52" s="103">
        <f>ROUND(650*89.91,)</f>
        <v>58442</v>
      </c>
      <c r="G52" s="103">
        <f>ROUND(E52-F52,)</f>
        <v>1957762</v>
      </c>
      <c r="H52" s="103">
        <f>G52*18%</f>
        <v>352397.16</v>
      </c>
      <c r="I52" s="103">
        <f t="shared" ref="I52:I58" si="0">G52+H52</f>
        <v>2310159.16</v>
      </c>
      <c r="J52" s="103">
        <f>ROUND(G52*$J$9,)</f>
        <v>19578</v>
      </c>
      <c r="K52" s="103">
        <f>ROUND(G52*$K$9,)</f>
        <v>97888</v>
      </c>
      <c r="L52" s="103">
        <f>ROUND(G52*$L$9,)</f>
        <v>97888</v>
      </c>
      <c r="M52" s="103">
        <f>ROUND(G52*$M$9,)</f>
        <v>195776</v>
      </c>
      <c r="N52" s="115">
        <f>H52</f>
        <v>352397.16</v>
      </c>
      <c r="O52" s="103">
        <v>516724</v>
      </c>
      <c r="P52" s="103"/>
      <c r="Q52" s="116">
        <f>ROUND(I52-SUM(J52:O52),0)</f>
        <v>1029908</v>
      </c>
      <c r="R52" s="19"/>
      <c r="S52" s="116">
        <v>495000</v>
      </c>
      <c r="T52" s="65" t="s">
        <v>52</v>
      </c>
      <c r="U52" s="62"/>
    </row>
    <row r="53" spans="1:78" x14ac:dyDescent="0.25">
      <c r="A53" s="59">
        <v>52830</v>
      </c>
      <c r="B53" s="112" t="s">
        <v>21</v>
      </c>
      <c r="C53" s="113"/>
      <c r="D53" s="118">
        <v>1</v>
      </c>
      <c r="E53" s="103">
        <f>N52</f>
        <v>352397.16</v>
      </c>
      <c r="F53" s="103"/>
      <c r="G53" s="103">
        <f>E53-F53</f>
        <v>352397.16</v>
      </c>
      <c r="H53" s="103">
        <v>0</v>
      </c>
      <c r="I53" s="103">
        <f t="shared" si="0"/>
        <v>352397.16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103"/>
      <c r="Q53" s="115">
        <f>ROUND(I53-SUM(J53:O53),0)</f>
        <v>352397</v>
      </c>
      <c r="R53" s="19"/>
      <c r="S53" s="116">
        <v>534908</v>
      </c>
      <c r="T53" s="65" t="s">
        <v>53</v>
      </c>
      <c r="U53" s="62"/>
    </row>
    <row r="54" spans="1:78" x14ac:dyDescent="0.25">
      <c r="A54" s="59">
        <v>52830</v>
      </c>
      <c r="B54" s="121" t="s">
        <v>67</v>
      </c>
      <c r="C54" s="113">
        <v>44898</v>
      </c>
      <c r="D54" s="118"/>
      <c r="E54" s="103">
        <v>450000</v>
      </c>
      <c r="F54" s="103"/>
      <c r="G54" s="103">
        <v>450000</v>
      </c>
      <c r="H54" s="103"/>
      <c r="I54" s="103">
        <f t="shared" si="0"/>
        <v>450000</v>
      </c>
      <c r="J54" s="103"/>
      <c r="K54" s="103"/>
      <c r="L54" s="103"/>
      <c r="M54" s="103"/>
      <c r="N54" s="103"/>
      <c r="O54" s="103"/>
      <c r="P54" s="103"/>
      <c r="Q54" s="116">
        <f>ROUND(I54-SUM(J54:O54),0)</f>
        <v>450000</v>
      </c>
      <c r="R54" s="19"/>
      <c r="S54" s="116">
        <v>450000</v>
      </c>
      <c r="T54" s="65" t="s">
        <v>54</v>
      </c>
      <c r="U54" s="62"/>
    </row>
    <row r="55" spans="1:78" x14ac:dyDescent="0.25">
      <c r="A55" s="59">
        <v>52830</v>
      </c>
      <c r="B55" s="112" t="s">
        <v>51</v>
      </c>
      <c r="C55" s="113">
        <v>44936</v>
      </c>
      <c r="D55" s="118">
        <v>6</v>
      </c>
      <c r="E55" s="103">
        <v>1047594</v>
      </c>
      <c r="F55" s="103">
        <v>17982</v>
      </c>
      <c r="G55" s="103">
        <f>E55-F55</f>
        <v>1029612</v>
      </c>
      <c r="H55" s="103">
        <f>G55*18%</f>
        <v>185330.16</v>
      </c>
      <c r="I55" s="103">
        <f t="shared" si="0"/>
        <v>1214942.1599999999</v>
      </c>
      <c r="J55" s="103">
        <f>ROUND(G55*$J$9,)</f>
        <v>10296</v>
      </c>
      <c r="K55" s="103">
        <f>ROUND(G55*$K$9,)</f>
        <v>51481</v>
      </c>
      <c r="L55" s="103">
        <f>ROUND(G55*10%,)</f>
        <v>102961</v>
      </c>
      <c r="M55" s="103">
        <f>ROUND(G55*$M$9,)</f>
        <v>102961</v>
      </c>
      <c r="N55" s="115">
        <f>H55</f>
        <v>185330.16</v>
      </c>
      <c r="O55" s="103">
        <v>0</v>
      </c>
      <c r="P55" s="103"/>
      <c r="Q55" s="116">
        <f>I55-SUM(J55:N55)</f>
        <v>761912.99999999988</v>
      </c>
      <c r="R55" s="19"/>
      <c r="S55" s="116">
        <v>352396</v>
      </c>
      <c r="T55" s="65" t="s">
        <v>55</v>
      </c>
      <c r="U55" s="62"/>
    </row>
    <row r="56" spans="1:78" x14ac:dyDescent="0.25">
      <c r="A56" s="59">
        <v>52830</v>
      </c>
      <c r="B56" s="112" t="s">
        <v>21</v>
      </c>
      <c r="C56" s="101"/>
      <c r="D56" s="118">
        <v>6</v>
      </c>
      <c r="E56" s="103">
        <v>185330</v>
      </c>
      <c r="F56" s="103"/>
      <c r="G56" s="103">
        <f>E56-F56</f>
        <v>185330</v>
      </c>
      <c r="H56" s="103">
        <v>0</v>
      </c>
      <c r="I56" s="103">
        <f t="shared" si="0"/>
        <v>185330</v>
      </c>
      <c r="J56" s="103">
        <v>0</v>
      </c>
      <c r="K56" s="103">
        <v>0</v>
      </c>
      <c r="L56" s="103"/>
      <c r="M56" s="103"/>
      <c r="N56" s="103">
        <v>0</v>
      </c>
      <c r="O56" s="103"/>
      <c r="P56" s="103"/>
      <c r="Q56" s="115">
        <f>I56-SUM(J56:N56)</f>
        <v>185330</v>
      </c>
      <c r="R56" s="19"/>
      <c r="S56" s="116">
        <v>198000</v>
      </c>
      <c r="T56" s="65" t="s">
        <v>56</v>
      </c>
      <c r="U56" s="62"/>
    </row>
    <row r="57" spans="1:78" x14ac:dyDescent="0.25">
      <c r="A57" s="59">
        <v>52830</v>
      </c>
      <c r="B57" s="112" t="s">
        <v>292</v>
      </c>
      <c r="C57" s="113">
        <v>45146</v>
      </c>
      <c r="D57" s="114" t="s">
        <v>251</v>
      </c>
      <c r="E57" s="103">
        <v>600724.53</v>
      </c>
      <c r="F57" s="103">
        <v>77323</v>
      </c>
      <c r="G57" s="103">
        <f>E57-F57</f>
        <v>523401.53</v>
      </c>
      <c r="H57" s="103">
        <f>G57*18%</f>
        <v>94212.275399999999</v>
      </c>
      <c r="I57" s="122">
        <f t="shared" si="0"/>
        <v>617613.80540000007</v>
      </c>
      <c r="J57" s="103">
        <f>G57*1%</f>
        <v>5234.0153</v>
      </c>
      <c r="K57" s="103">
        <f>G57*5%</f>
        <v>26170.076500000003</v>
      </c>
      <c r="L57" s="103">
        <v>0</v>
      </c>
      <c r="M57" s="103">
        <v>0</v>
      </c>
      <c r="N57" s="115">
        <f>H57</f>
        <v>94212.275399999999</v>
      </c>
      <c r="O57" s="103">
        <v>43786</v>
      </c>
      <c r="P57" s="103">
        <v>64680</v>
      </c>
      <c r="Q57" s="116">
        <f>I57-SUM(J57:O57)</f>
        <v>448211.43820000009</v>
      </c>
      <c r="R57" s="19" t="s">
        <v>224</v>
      </c>
      <c r="S57" s="116">
        <v>495000</v>
      </c>
      <c r="T57" s="65" t="s">
        <v>57</v>
      </c>
      <c r="U57" s="62"/>
    </row>
    <row r="58" spans="1:78" x14ac:dyDescent="0.25">
      <c r="A58" s="59">
        <v>52830</v>
      </c>
      <c r="B58" s="112" t="s">
        <v>292</v>
      </c>
      <c r="C58" s="113">
        <v>45164</v>
      </c>
      <c r="D58" s="114" t="s">
        <v>252</v>
      </c>
      <c r="E58" s="103">
        <v>1119282.75</v>
      </c>
      <c r="F58" s="103">
        <v>885</v>
      </c>
      <c r="G58" s="103">
        <f>E58-F58</f>
        <v>1118397.75</v>
      </c>
      <c r="H58" s="103">
        <f>G58*18%</f>
        <v>201311.595</v>
      </c>
      <c r="I58" s="122">
        <f t="shared" si="0"/>
        <v>1319709.345</v>
      </c>
      <c r="J58" s="103">
        <f>G58*1%</f>
        <v>11183.977500000001</v>
      </c>
      <c r="K58" s="103">
        <f>G58*5%</f>
        <v>55919.887500000004</v>
      </c>
      <c r="L58" s="103">
        <v>0</v>
      </c>
      <c r="M58" s="103">
        <v>0</v>
      </c>
      <c r="N58" s="115">
        <f>H58</f>
        <v>201311.595</v>
      </c>
      <c r="O58" s="103">
        <v>109074</v>
      </c>
      <c r="P58" s="103">
        <v>223680</v>
      </c>
      <c r="Q58" s="116">
        <f>I58-SUM(J58:O58)</f>
        <v>942219.88500000001</v>
      </c>
      <c r="R58" s="19" t="s">
        <v>229</v>
      </c>
      <c r="S58" s="116">
        <v>49500</v>
      </c>
      <c r="T58" s="65" t="s">
        <v>58</v>
      </c>
      <c r="U58" s="62"/>
    </row>
    <row r="59" spans="1:78" x14ac:dyDescent="0.25">
      <c r="A59" s="59">
        <v>52830</v>
      </c>
      <c r="B59" s="112" t="s">
        <v>21</v>
      </c>
      <c r="C59" s="113"/>
      <c r="D59" s="114" t="s">
        <v>253</v>
      </c>
      <c r="E59" s="103">
        <f>N57+N58</f>
        <v>295523.87040000001</v>
      </c>
      <c r="F59" s="103"/>
      <c r="G59" s="103"/>
      <c r="H59" s="103"/>
      <c r="I59" s="122"/>
      <c r="J59" s="103"/>
      <c r="K59" s="103"/>
      <c r="L59" s="103"/>
      <c r="M59" s="103"/>
      <c r="N59" s="103"/>
      <c r="O59" s="123"/>
      <c r="P59" s="123"/>
      <c r="Q59" s="115">
        <f>E59</f>
        <v>295523.87040000001</v>
      </c>
      <c r="R59" s="19"/>
      <c r="S59" s="116">
        <v>19413</v>
      </c>
      <c r="T59" s="65" t="s">
        <v>59</v>
      </c>
      <c r="U59" s="62"/>
    </row>
    <row r="60" spans="1:78" x14ac:dyDescent="0.25">
      <c r="A60" s="19"/>
      <c r="B60" s="100"/>
      <c r="C60" s="101"/>
      <c r="D60" s="102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0"/>
      <c r="P60" s="100"/>
      <c r="Q60" s="103"/>
      <c r="R60" s="19"/>
      <c r="S60" s="116">
        <v>185330</v>
      </c>
      <c r="T60" s="65" t="s">
        <v>60</v>
      </c>
      <c r="U60" s="62"/>
    </row>
    <row r="61" spans="1:78" x14ac:dyDescent="0.25">
      <c r="A61" s="19"/>
      <c r="B61" s="100"/>
      <c r="C61" s="101"/>
      <c r="D61" s="102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0"/>
      <c r="P61" s="100"/>
      <c r="Q61" s="103"/>
      <c r="R61" s="19"/>
      <c r="S61" s="116">
        <v>198000</v>
      </c>
      <c r="T61" s="65" t="s">
        <v>61</v>
      </c>
      <c r="U61" s="62"/>
    </row>
    <row r="62" spans="1:78" x14ac:dyDescent="0.25">
      <c r="A62" s="19"/>
      <c r="B62" s="100"/>
      <c r="C62" s="101"/>
      <c r="D62" s="102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0"/>
      <c r="P62" s="100"/>
      <c r="Q62" s="103"/>
      <c r="R62" s="19"/>
      <c r="S62" s="116">
        <v>250212</v>
      </c>
      <c r="T62" s="65" t="s">
        <v>68</v>
      </c>
      <c r="U62" s="62"/>
    </row>
    <row r="63" spans="1:78" x14ac:dyDescent="0.25">
      <c r="A63" s="19"/>
      <c r="B63" s="100"/>
      <c r="C63" s="101"/>
      <c r="D63" s="102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0"/>
      <c r="P63" s="100"/>
      <c r="Q63" s="103"/>
      <c r="R63" s="19"/>
      <c r="S63" s="116">
        <v>942220</v>
      </c>
      <c r="T63" s="65" t="s">
        <v>71</v>
      </c>
      <c r="U63" s="62"/>
    </row>
    <row r="64" spans="1:78" x14ac:dyDescent="0.25">
      <c r="A64" s="19"/>
      <c r="B64" s="100"/>
      <c r="C64" s="101"/>
      <c r="D64" s="102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0"/>
      <c r="P64" s="100"/>
      <c r="Q64" s="103"/>
      <c r="R64" s="19"/>
      <c r="S64" s="116">
        <v>24750</v>
      </c>
      <c r="T64" s="65" t="s">
        <v>196</v>
      </c>
      <c r="U64" s="62"/>
    </row>
    <row r="65" spans="1:78" x14ac:dyDescent="0.25">
      <c r="A65" s="19"/>
      <c r="B65" s="100"/>
      <c r="C65" s="101"/>
      <c r="D65" s="102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0"/>
      <c r="P65" s="100"/>
      <c r="Q65" s="103"/>
      <c r="R65" s="19"/>
      <c r="S65" s="103">
        <v>295524</v>
      </c>
      <c r="T65" s="65" t="s">
        <v>261</v>
      </c>
      <c r="U65" s="62"/>
    </row>
    <row r="66" spans="1:78" x14ac:dyDescent="0.25">
      <c r="A66" s="19"/>
      <c r="B66" s="100"/>
      <c r="C66" s="101"/>
      <c r="D66" s="102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0"/>
      <c r="P66" s="100"/>
      <c r="Q66" s="103"/>
      <c r="R66" s="19"/>
      <c r="S66" s="103">
        <v>99000</v>
      </c>
      <c r="T66" s="65" t="s">
        <v>273</v>
      </c>
      <c r="U66" s="62"/>
    </row>
    <row r="67" spans="1:78" s="60" customFormat="1" x14ac:dyDescent="0.25">
      <c r="A67" s="59">
        <v>53075</v>
      </c>
      <c r="B67" s="106"/>
      <c r="C67" s="107"/>
      <c r="D67" s="108"/>
      <c r="E67" s="109"/>
      <c r="F67" s="109"/>
      <c r="G67" s="109"/>
      <c r="H67" s="110"/>
      <c r="I67" s="109"/>
      <c r="J67" s="110"/>
      <c r="K67" s="110"/>
      <c r="L67" s="110"/>
      <c r="M67" s="110"/>
      <c r="N67" s="110"/>
      <c r="O67" s="111"/>
      <c r="P67" s="111"/>
      <c r="Q67" s="109"/>
      <c r="R67" s="59">
        <v>53075</v>
      </c>
      <c r="S67" s="109"/>
      <c r="T67" s="109"/>
      <c r="U67" s="64">
        <f>SUM(Q52:Q66,0)-SUM(S52:S66,0)</f>
        <v>-123749.80639999919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</row>
    <row r="68" spans="1:78" ht="28.5" x14ac:dyDescent="0.25">
      <c r="A68" s="59">
        <v>53075</v>
      </c>
      <c r="B68" s="112" t="s">
        <v>265</v>
      </c>
      <c r="C68" s="113">
        <v>44919</v>
      </c>
      <c r="D68" s="118">
        <v>3</v>
      </c>
      <c r="E68" s="103">
        <v>817552</v>
      </c>
      <c r="F68" s="103">
        <v>80919</v>
      </c>
      <c r="G68" s="103">
        <v>736633</v>
      </c>
      <c r="H68" s="103">
        <v>132594</v>
      </c>
      <c r="I68" s="103">
        <v>869227</v>
      </c>
      <c r="J68" s="103">
        <v>7366.33</v>
      </c>
      <c r="K68" s="103">
        <v>36831.65</v>
      </c>
      <c r="L68" s="103">
        <v>73663.3</v>
      </c>
      <c r="M68" s="103">
        <v>73663.3</v>
      </c>
      <c r="N68" s="115">
        <v>132594</v>
      </c>
      <c r="O68" s="103">
        <v>216163</v>
      </c>
      <c r="P68" s="103"/>
      <c r="Q68" s="116">
        <v>328945</v>
      </c>
      <c r="R68" s="19"/>
      <c r="S68" s="116">
        <v>148500</v>
      </c>
      <c r="T68" s="65" t="s">
        <v>38</v>
      </c>
      <c r="U68" s="62"/>
    </row>
    <row r="69" spans="1:78" x14ac:dyDescent="0.25">
      <c r="A69" s="59">
        <v>53075</v>
      </c>
      <c r="B69" s="112" t="s">
        <v>21</v>
      </c>
      <c r="C69" s="113">
        <v>44942</v>
      </c>
      <c r="D69" s="118">
        <v>3</v>
      </c>
      <c r="E69" s="103">
        <v>132594</v>
      </c>
      <c r="F69" s="103">
        <v>0</v>
      </c>
      <c r="G69" s="103">
        <v>132594</v>
      </c>
      <c r="H69" s="103">
        <v>0</v>
      </c>
      <c r="I69" s="103">
        <v>132594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103"/>
      <c r="Q69" s="115">
        <v>132594</v>
      </c>
      <c r="R69" s="19"/>
      <c r="S69" s="116">
        <v>180446</v>
      </c>
      <c r="T69" s="65" t="s">
        <v>39</v>
      </c>
      <c r="U69" s="62"/>
    </row>
    <row r="70" spans="1:78" x14ac:dyDescent="0.25">
      <c r="A70" s="59">
        <v>53075</v>
      </c>
      <c r="B70" s="112" t="s">
        <v>37</v>
      </c>
      <c r="C70" s="113">
        <v>45026</v>
      </c>
      <c r="D70" s="118">
        <v>2</v>
      </c>
      <c r="E70" s="103">
        <v>461312.48</v>
      </c>
      <c r="F70" s="103">
        <v>0</v>
      </c>
      <c r="G70" s="103">
        <v>461312.48</v>
      </c>
      <c r="H70" s="103">
        <v>83036</v>
      </c>
      <c r="I70" s="103">
        <v>544348.48</v>
      </c>
      <c r="J70" s="103">
        <v>4613.1247999999996</v>
      </c>
      <c r="K70" s="103">
        <v>23065.624</v>
      </c>
      <c r="L70" s="103">
        <v>23065.624</v>
      </c>
      <c r="M70" s="103">
        <v>46131.248</v>
      </c>
      <c r="N70" s="115">
        <v>83036</v>
      </c>
      <c r="O70" s="103">
        <v>33987</v>
      </c>
      <c r="P70" s="103"/>
      <c r="Q70" s="116">
        <v>330450</v>
      </c>
      <c r="R70" s="19"/>
      <c r="S70" s="116">
        <v>132594</v>
      </c>
      <c r="T70" s="65" t="s">
        <v>40</v>
      </c>
      <c r="U70" s="62"/>
    </row>
    <row r="71" spans="1:78" x14ac:dyDescent="0.25">
      <c r="A71" s="59">
        <v>53075</v>
      </c>
      <c r="B71" s="112" t="s">
        <v>21</v>
      </c>
      <c r="C71" s="113">
        <v>45069</v>
      </c>
      <c r="D71" s="118">
        <v>2</v>
      </c>
      <c r="E71" s="103">
        <v>83036</v>
      </c>
      <c r="F71" s="103"/>
      <c r="G71" s="103">
        <v>83036</v>
      </c>
      <c r="H71" s="103">
        <v>0</v>
      </c>
      <c r="I71" s="103">
        <v>83036</v>
      </c>
      <c r="J71" s="103">
        <v>0</v>
      </c>
      <c r="K71" s="103">
        <v>0</v>
      </c>
      <c r="L71" s="103"/>
      <c r="M71" s="103"/>
      <c r="N71" s="103">
        <v>0</v>
      </c>
      <c r="O71" s="103"/>
      <c r="P71" s="103"/>
      <c r="Q71" s="115">
        <v>83036</v>
      </c>
      <c r="R71" s="19"/>
      <c r="S71" s="116">
        <v>198000</v>
      </c>
      <c r="T71" s="65" t="s">
        <v>41</v>
      </c>
      <c r="U71" s="62"/>
    </row>
    <row r="72" spans="1:78" x14ac:dyDescent="0.25">
      <c r="A72" s="59">
        <v>53075</v>
      </c>
      <c r="B72" s="112" t="s">
        <v>37</v>
      </c>
      <c r="C72" s="113">
        <v>45157</v>
      </c>
      <c r="D72" s="118" t="s">
        <v>214</v>
      </c>
      <c r="E72" s="103">
        <v>694130</v>
      </c>
      <c r="F72" s="103"/>
      <c r="G72" s="103">
        <f>E72-F72</f>
        <v>694130</v>
      </c>
      <c r="H72" s="103">
        <f>G72*18%</f>
        <v>124943.4</v>
      </c>
      <c r="I72" s="103">
        <f>G72+H72</f>
        <v>819073.4</v>
      </c>
      <c r="J72" s="103">
        <f>G72*1%</f>
        <v>6941.3</v>
      </c>
      <c r="K72" s="103">
        <f>5%*G72</f>
        <v>34706.5</v>
      </c>
      <c r="L72" s="103">
        <f>5%*G72</f>
        <v>34706.5</v>
      </c>
      <c r="M72" s="103">
        <f>10%*G72</f>
        <v>69413</v>
      </c>
      <c r="N72" s="115">
        <f>H72</f>
        <v>124943.4</v>
      </c>
      <c r="O72" s="100">
        <v>70108</v>
      </c>
      <c r="P72" s="100">
        <v>89326</v>
      </c>
      <c r="Q72" s="116">
        <f>G72-J72-K72-L72-O72-M72</f>
        <v>478254.69999999995</v>
      </c>
      <c r="R72" s="19" t="s">
        <v>225</v>
      </c>
      <c r="S72" s="116">
        <v>99000</v>
      </c>
      <c r="T72" s="65" t="s">
        <v>42</v>
      </c>
      <c r="U72" s="62"/>
    </row>
    <row r="73" spans="1:78" x14ac:dyDescent="0.25">
      <c r="A73" s="59">
        <v>53075</v>
      </c>
      <c r="B73" s="112" t="s">
        <v>21</v>
      </c>
      <c r="C73" s="113"/>
      <c r="D73" s="118" t="s">
        <v>214</v>
      </c>
      <c r="E73" s="103">
        <f>N72</f>
        <v>124943.4</v>
      </c>
      <c r="F73" s="103"/>
      <c r="G73" s="103"/>
      <c r="H73" s="103"/>
      <c r="I73" s="103"/>
      <c r="J73" s="103">
        <v>0</v>
      </c>
      <c r="K73" s="103">
        <v>0</v>
      </c>
      <c r="L73" s="103"/>
      <c r="M73" s="103"/>
      <c r="N73" s="103">
        <v>0</v>
      </c>
      <c r="O73" s="103"/>
      <c r="P73" s="103"/>
      <c r="Q73" s="115">
        <f>E73</f>
        <v>124943.4</v>
      </c>
      <c r="R73" s="19"/>
      <c r="S73" s="116">
        <v>148500</v>
      </c>
      <c r="T73" s="65" t="s">
        <v>43</v>
      </c>
      <c r="U73" s="62"/>
    </row>
    <row r="74" spans="1:78" x14ac:dyDescent="0.25">
      <c r="A74" s="19"/>
      <c r="B74" s="100"/>
      <c r="C74" s="101"/>
      <c r="D74" s="102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0"/>
      <c r="P74" s="100"/>
      <c r="Q74" s="103"/>
      <c r="R74" s="19"/>
      <c r="S74" s="116">
        <v>83036</v>
      </c>
      <c r="T74" s="65" t="s">
        <v>44</v>
      </c>
      <c r="U74" s="62"/>
    </row>
    <row r="75" spans="1:78" x14ac:dyDescent="0.25">
      <c r="A75" s="19"/>
      <c r="B75" s="100"/>
      <c r="C75" s="101"/>
      <c r="D75" s="102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0"/>
      <c r="P75" s="100">
        <v>49500</v>
      </c>
      <c r="Q75" s="103"/>
      <c r="R75" s="19" t="s">
        <v>223</v>
      </c>
      <c r="S75" s="116">
        <v>198000</v>
      </c>
      <c r="T75" s="65" t="s">
        <v>48</v>
      </c>
      <c r="U75" s="62"/>
    </row>
    <row r="76" spans="1:78" x14ac:dyDescent="0.25">
      <c r="A76" s="19"/>
      <c r="B76" s="100"/>
      <c r="C76" s="101"/>
      <c r="D76" s="102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0"/>
      <c r="P76" s="100"/>
      <c r="Q76" s="103"/>
      <c r="R76" s="19"/>
      <c r="S76" s="116">
        <v>297000</v>
      </c>
      <c r="T76" s="65" t="s">
        <v>72</v>
      </c>
      <c r="U76" s="62"/>
    </row>
    <row r="77" spans="1:78" x14ac:dyDescent="0.25">
      <c r="A77" s="19"/>
      <c r="B77" s="100"/>
      <c r="C77" s="101"/>
      <c r="D77" s="102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0"/>
      <c r="P77" s="100"/>
      <c r="Q77" s="103"/>
      <c r="R77" s="19"/>
      <c r="S77" s="116">
        <v>99000</v>
      </c>
      <c r="T77" s="65" t="s">
        <v>197</v>
      </c>
      <c r="U77" s="62"/>
    </row>
    <row r="78" spans="1:78" x14ac:dyDescent="0.15">
      <c r="A78" s="19"/>
      <c r="B78" s="100"/>
      <c r="C78" s="101"/>
      <c r="D78" s="102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0"/>
      <c r="P78" s="100"/>
      <c r="Q78" s="103"/>
      <c r="R78" s="19"/>
      <c r="S78" s="116">
        <v>297000</v>
      </c>
      <c r="T78" s="65" t="s">
        <v>266</v>
      </c>
      <c r="U78" s="62"/>
      <c r="Y78" s="90"/>
    </row>
    <row r="79" spans="1:78" s="60" customFormat="1" x14ac:dyDescent="0.15">
      <c r="A79" s="59">
        <v>55800</v>
      </c>
      <c r="B79" s="106"/>
      <c r="C79" s="107"/>
      <c r="D79" s="108"/>
      <c r="E79" s="109"/>
      <c r="F79" s="109"/>
      <c r="G79" s="109"/>
      <c r="H79" s="110"/>
      <c r="I79" s="109"/>
      <c r="J79" s="110"/>
      <c r="K79" s="110"/>
      <c r="L79" s="110"/>
      <c r="M79" s="110"/>
      <c r="N79" s="110"/>
      <c r="O79" s="111"/>
      <c r="P79" s="111"/>
      <c r="Q79" s="109"/>
      <c r="R79" s="59">
        <v>55800</v>
      </c>
      <c r="S79" s="109"/>
      <c r="T79" s="109"/>
      <c r="U79" s="64">
        <f>SUM(Q68:Q78,0)-SUM(S68:S78,0)</f>
        <v>-402852.90000000014</v>
      </c>
      <c r="V79" s="2"/>
      <c r="W79" s="2"/>
      <c r="X79" s="2"/>
      <c r="Y79" s="71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</row>
    <row r="80" spans="1:78" x14ac:dyDescent="0.15">
      <c r="A80" s="59">
        <v>55800</v>
      </c>
      <c r="B80" s="112" t="s">
        <v>63</v>
      </c>
      <c r="C80" s="113">
        <v>45078</v>
      </c>
      <c r="D80" s="114">
        <v>7</v>
      </c>
      <c r="E80" s="103">
        <v>989955.27</v>
      </c>
      <c r="F80" s="103">
        <v>0</v>
      </c>
      <c r="G80" s="103">
        <f>ROUND(E80-F80,)</f>
        <v>989955</v>
      </c>
      <c r="H80" s="103">
        <f>G80*18%</f>
        <v>178191.9</v>
      </c>
      <c r="I80" s="103">
        <f>G80+H80</f>
        <v>1168146.8999999999</v>
      </c>
      <c r="J80" s="103">
        <f>ROUND(G80*$J$9,)</f>
        <v>9900</v>
      </c>
      <c r="K80" s="103">
        <f>ROUND(G80*$K$9,)</f>
        <v>49498</v>
      </c>
      <c r="L80" s="103">
        <f>ROUND(G80*$L$9,)</f>
        <v>49498</v>
      </c>
      <c r="M80" s="103">
        <f>ROUND(G80*$M$9,)</f>
        <v>98996</v>
      </c>
      <c r="N80" s="115">
        <f>H80</f>
        <v>178191.9</v>
      </c>
      <c r="O80" s="103">
        <v>136068.82</v>
      </c>
      <c r="P80" s="103"/>
      <c r="Q80" s="116">
        <f>ROUND(I80-SUM(J80:O80),0)</f>
        <v>645994</v>
      </c>
      <c r="R80" s="19"/>
      <c r="S80" s="116">
        <v>198000</v>
      </c>
      <c r="T80" s="103" t="s">
        <v>64</v>
      </c>
      <c r="U80" s="62"/>
      <c r="Y80" s="71"/>
    </row>
    <row r="81" spans="1:78" x14ac:dyDescent="0.25">
      <c r="A81" s="59">
        <v>55800</v>
      </c>
      <c r="B81" s="112" t="s">
        <v>63</v>
      </c>
      <c r="C81" s="113">
        <v>45157</v>
      </c>
      <c r="D81" s="118" t="s">
        <v>215</v>
      </c>
      <c r="E81" s="103">
        <v>223424</v>
      </c>
      <c r="F81" s="103">
        <f>158400+(194*20)</f>
        <v>162280</v>
      </c>
      <c r="G81" s="103">
        <f>E81-F81</f>
        <v>61144</v>
      </c>
      <c r="H81" s="103">
        <f>G81*18%</f>
        <v>11005.92</v>
      </c>
      <c r="I81" s="103">
        <f>G81+H81</f>
        <v>72149.919999999998</v>
      </c>
      <c r="J81" s="103">
        <f>ROUND(G81*$J$9,)</f>
        <v>611</v>
      </c>
      <c r="K81" s="103">
        <f>ROUND(G81*$K$9,)</f>
        <v>3057</v>
      </c>
      <c r="L81" s="103">
        <f>ROUND(G81*$L$9,)</f>
        <v>3057</v>
      </c>
      <c r="M81" s="103">
        <f>ROUND(G81*$M$9,)</f>
        <v>6114</v>
      </c>
      <c r="N81" s="115">
        <f>H81</f>
        <v>11005.92</v>
      </c>
      <c r="O81" s="103">
        <v>0</v>
      </c>
      <c r="P81" s="103">
        <v>12229</v>
      </c>
      <c r="Q81" s="116">
        <f>ROUND(I81-SUM(J81:O81),0)</f>
        <v>48305</v>
      </c>
      <c r="R81" s="19" t="s">
        <v>227</v>
      </c>
      <c r="S81" s="116">
        <v>447994</v>
      </c>
      <c r="T81" s="65" t="s">
        <v>65</v>
      </c>
      <c r="U81" s="62"/>
    </row>
    <row r="82" spans="1:78" x14ac:dyDescent="0.25">
      <c r="A82" s="59">
        <v>55800</v>
      </c>
      <c r="B82" s="100" t="s">
        <v>30</v>
      </c>
      <c r="C82" s="101"/>
      <c r="D82" s="102">
        <v>7</v>
      </c>
      <c r="E82" s="103">
        <f>N80</f>
        <v>178191.9</v>
      </c>
      <c r="F82" s="103"/>
      <c r="G82" s="103"/>
      <c r="H82" s="103"/>
      <c r="I82" s="103"/>
      <c r="J82" s="103"/>
      <c r="K82" s="103"/>
      <c r="L82" s="103"/>
      <c r="M82" s="103"/>
      <c r="N82" s="103"/>
      <c r="O82" s="100"/>
      <c r="P82" s="100"/>
      <c r="Q82" s="115">
        <f>E82</f>
        <v>178191.9</v>
      </c>
      <c r="R82" s="20"/>
      <c r="S82" s="116">
        <v>48305</v>
      </c>
      <c r="T82" s="65" t="s">
        <v>73</v>
      </c>
      <c r="U82" s="62"/>
    </row>
    <row r="83" spans="1:78" x14ac:dyDescent="0.25">
      <c r="A83" s="59">
        <v>55800</v>
      </c>
      <c r="B83" s="100" t="s">
        <v>30</v>
      </c>
      <c r="C83" s="101"/>
      <c r="D83" s="102" t="s">
        <v>215</v>
      </c>
      <c r="E83" s="103">
        <f>N81</f>
        <v>11005.92</v>
      </c>
      <c r="F83" s="103"/>
      <c r="G83" s="103"/>
      <c r="H83" s="103"/>
      <c r="I83" s="103"/>
      <c r="J83" s="103"/>
      <c r="K83" s="103"/>
      <c r="L83" s="103"/>
      <c r="M83" s="103"/>
      <c r="N83" s="103"/>
      <c r="O83" s="100"/>
      <c r="P83" s="100"/>
      <c r="Q83" s="115">
        <f>E83</f>
        <v>11005.92</v>
      </c>
      <c r="R83" s="20"/>
      <c r="S83" s="116">
        <v>178192</v>
      </c>
      <c r="T83" s="65" t="s">
        <v>198</v>
      </c>
      <c r="U83" s="62"/>
    </row>
    <row r="84" spans="1:78" x14ac:dyDescent="0.25">
      <c r="A84" s="59">
        <v>55800</v>
      </c>
      <c r="B84" s="112" t="s">
        <v>63</v>
      </c>
      <c r="C84" s="113">
        <v>45580</v>
      </c>
      <c r="D84" s="118">
        <v>8</v>
      </c>
      <c r="E84" s="103">
        <v>176276</v>
      </c>
      <c r="F84" s="103">
        <v>0</v>
      </c>
      <c r="G84" s="103">
        <f>E84-F84</f>
        <v>176276</v>
      </c>
      <c r="H84" s="103">
        <f>G84*18%</f>
        <v>31729.68</v>
      </c>
      <c r="I84" s="103">
        <f>G84+H84</f>
        <v>208005.68</v>
      </c>
      <c r="J84" s="103">
        <f>ROUND(G84*$J$9,)</f>
        <v>1763</v>
      </c>
      <c r="K84" s="103">
        <f>ROUND(G84*$K$9,)</f>
        <v>8814</v>
      </c>
      <c r="L84" s="103">
        <f>G84*10%</f>
        <v>17627.600000000002</v>
      </c>
      <c r="M84" s="103">
        <f>ROUND(G84*$M$9,)</f>
        <v>17628</v>
      </c>
      <c r="N84" s="115">
        <f>H84</f>
        <v>31729.68</v>
      </c>
      <c r="O84" s="103">
        <v>0</v>
      </c>
      <c r="P84" s="103">
        <v>0</v>
      </c>
      <c r="Q84" s="116">
        <f>ROUND(I84-SUM(J84:O84),0)</f>
        <v>130443</v>
      </c>
      <c r="R84" s="20"/>
      <c r="S84" s="103">
        <v>49500</v>
      </c>
      <c r="T84" s="65" t="s">
        <v>269</v>
      </c>
      <c r="U84" s="62"/>
    </row>
    <row r="85" spans="1:78" s="60" customFormat="1" x14ac:dyDescent="0.25">
      <c r="A85" s="59">
        <v>59119</v>
      </c>
      <c r="B85" s="106"/>
      <c r="C85" s="107"/>
      <c r="D85" s="108"/>
      <c r="E85" s="109"/>
      <c r="F85" s="109"/>
      <c r="G85" s="109"/>
      <c r="H85" s="110"/>
      <c r="I85" s="109"/>
      <c r="J85" s="110"/>
      <c r="K85" s="110"/>
      <c r="L85" s="110"/>
      <c r="M85" s="110"/>
      <c r="N85" s="110"/>
      <c r="O85" s="111"/>
      <c r="P85" s="111"/>
      <c r="Q85" s="109"/>
      <c r="R85" s="59">
        <v>59119</v>
      </c>
      <c r="S85" s="109"/>
      <c r="T85" s="109"/>
      <c r="U85" s="64">
        <f>SUM(Q80:Q84,0)-SUM(S80:S84,0)</f>
        <v>91948.820000000065</v>
      </c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</row>
    <row r="86" spans="1:78" x14ac:dyDescent="0.25">
      <c r="A86" s="59">
        <v>59119</v>
      </c>
      <c r="B86" s="112" t="s">
        <v>75</v>
      </c>
      <c r="C86" s="113">
        <v>45167</v>
      </c>
      <c r="D86" s="114" t="s">
        <v>211</v>
      </c>
      <c r="E86" s="103">
        <v>670996</v>
      </c>
      <c r="F86" s="103">
        <v>0</v>
      </c>
      <c r="G86" s="103">
        <f>ROUND(E86-F86,)</f>
        <v>670996</v>
      </c>
      <c r="H86" s="103">
        <f>G86*18%</f>
        <v>120779.28</v>
      </c>
      <c r="I86" s="103">
        <f>G86+H86</f>
        <v>791775.28</v>
      </c>
      <c r="J86" s="103">
        <f>ROUND(G86*$J$9,)</f>
        <v>6710</v>
      </c>
      <c r="K86" s="103">
        <f>ROUND(G86*$K$9,)</f>
        <v>33550</v>
      </c>
      <c r="L86" s="103">
        <f>ROUND(G86*$L$9,)</f>
        <v>33550</v>
      </c>
      <c r="M86" s="103">
        <f>ROUND(G86*$M$9,)</f>
        <v>67100</v>
      </c>
      <c r="N86" s="115">
        <f>H86</f>
        <v>120779.28</v>
      </c>
      <c r="O86" s="103">
        <v>0</v>
      </c>
      <c r="P86" s="103">
        <v>134199</v>
      </c>
      <c r="Q86" s="116">
        <f>ROUND(I86-SUM(J86:O86),0)</f>
        <v>530086</v>
      </c>
      <c r="R86" s="20" t="s">
        <v>230</v>
      </c>
      <c r="S86" s="116">
        <v>530086</v>
      </c>
      <c r="T86" s="65" t="s">
        <v>74</v>
      </c>
      <c r="U86" s="62" t="s">
        <v>92</v>
      </c>
    </row>
    <row r="87" spans="1:78" x14ac:dyDescent="0.25">
      <c r="A87" s="59">
        <v>59119</v>
      </c>
      <c r="B87" s="112" t="s">
        <v>75</v>
      </c>
      <c r="C87" s="113">
        <v>45310</v>
      </c>
      <c r="D87" s="114">
        <v>24</v>
      </c>
      <c r="E87" s="103">
        <v>460940</v>
      </c>
      <c r="F87" s="103"/>
      <c r="G87" s="103">
        <f>ROUND(E87-F87,)</f>
        <v>460940</v>
      </c>
      <c r="H87" s="103">
        <f>G87*18%</f>
        <v>82969.2</v>
      </c>
      <c r="I87" s="103">
        <f>G87+H87</f>
        <v>543909.19999999995</v>
      </c>
      <c r="J87" s="103">
        <f>ROUND(G87*$J$9,)</f>
        <v>4609</v>
      </c>
      <c r="K87" s="103">
        <f>ROUND(G87*$K$9,)</f>
        <v>23047</v>
      </c>
      <c r="L87" s="103">
        <f>ROUND(G87*$L$9,)</f>
        <v>23047</v>
      </c>
      <c r="M87" s="103">
        <f>ROUND(G87*$M$9,)</f>
        <v>46094</v>
      </c>
      <c r="N87" s="115">
        <f>H87</f>
        <v>82969.2</v>
      </c>
      <c r="O87" s="103">
        <v>100150</v>
      </c>
      <c r="P87" s="103"/>
      <c r="Q87" s="116">
        <f>ROUND(I87-SUM(J87:O87),0)</f>
        <v>263993</v>
      </c>
      <c r="R87" s="20"/>
      <c r="S87" s="116">
        <v>148500</v>
      </c>
      <c r="T87" s="65" t="s">
        <v>191</v>
      </c>
      <c r="U87" s="62"/>
    </row>
    <row r="88" spans="1:78" x14ac:dyDescent="0.25">
      <c r="A88" s="59">
        <v>59119</v>
      </c>
      <c r="B88" s="112" t="s">
        <v>199</v>
      </c>
      <c r="C88" s="113"/>
      <c r="D88" s="114" t="s">
        <v>211</v>
      </c>
      <c r="E88" s="103">
        <f>N86</f>
        <v>120779.28</v>
      </c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15">
        <f>E88</f>
        <v>120779.28</v>
      </c>
      <c r="R88" s="20"/>
      <c r="S88" s="116">
        <v>247500</v>
      </c>
      <c r="T88" s="65" t="s">
        <v>192</v>
      </c>
      <c r="U88" s="62"/>
    </row>
    <row r="89" spans="1:78" x14ac:dyDescent="0.25">
      <c r="A89" s="59">
        <v>59119</v>
      </c>
      <c r="B89" s="112" t="s">
        <v>199</v>
      </c>
      <c r="C89" s="113"/>
      <c r="D89" s="114">
        <v>24</v>
      </c>
      <c r="E89" s="103">
        <f>N87</f>
        <v>82969.2</v>
      </c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15">
        <f>E89</f>
        <v>82969.2</v>
      </c>
      <c r="R89" s="20"/>
      <c r="S89" s="116">
        <v>99000</v>
      </c>
      <c r="T89" s="65" t="s">
        <v>239</v>
      </c>
      <c r="U89" s="62"/>
    </row>
    <row r="90" spans="1:78" x14ac:dyDescent="0.25">
      <c r="A90" s="20"/>
      <c r="B90" s="112"/>
      <c r="C90" s="113"/>
      <c r="D90" s="114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20"/>
      <c r="S90" s="116">
        <v>82969</v>
      </c>
      <c r="T90" s="65" t="s">
        <v>249</v>
      </c>
      <c r="U90" s="62"/>
    </row>
    <row r="91" spans="1:78" s="60" customFormat="1" x14ac:dyDescent="0.25">
      <c r="A91" s="59">
        <v>59578</v>
      </c>
      <c r="B91" s="106"/>
      <c r="C91" s="107"/>
      <c r="D91" s="108"/>
      <c r="E91" s="109"/>
      <c r="F91" s="109"/>
      <c r="G91" s="109"/>
      <c r="H91" s="110"/>
      <c r="I91" s="109"/>
      <c r="J91" s="110"/>
      <c r="K91" s="110"/>
      <c r="L91" s="110"/>
      <c r="M91" s="110"/>
      <c r="N91" s="110"/>
      <c r="O91" s="111"/>
      <c r="P91" s="111"/>
      <c r="Q91" s="109"/>
      <c r="R91" s="59">
        <v>59578</v>
      </c>
      <c r="S91" s="109"/>
      <c r="T91" s="109"/>
      <c r="U91" s="64">
        <f>SUM(Q86:Q90,0)-SUM(S86:S90,0)</f>
        <v>-110227.52000000002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</row>
    <row r="92" spans="1:78" ht="28.5" x14ac:dyDescent="0.25">
      <c r="A92" s="59">
        <v>59578</v>
      </c>
      <c r="B92" s="112" t="s">
        <v>291</v>
      </c>
      <c r="C92" s="113">
        <v>45192</v>
      </c>
      <c r="D92" s="114" t="s">
        <v>210</v>
      </c>
      <c r="E92" s="103">
        <f>2950000*15%</f>
        <v>442500</v>
      </c>
      <c r="F92" s="103">
        <v>0</v>
      </c>
      <c r="G92" s="103">
        <f>ROUND(E92-F92,)</f>
        <v>442500</v>
      </c>
      <c r="H92" s="103">
        <f>ROUND(G92*H9,0)</f>
        <v>79650</v>
      </c>
      <c r="I92" s="103">
        <f>G92+H92</f>
        <v>522150</v>
      </c>
      <c r="J92" s="103">
        <f>ROUND(G92*$J$9,)</f>
        <v>4425</v>
      </c>
      <c r="K92" s="103">
        <f>ROUND(G92*$K$9,)</f>
        <v>22125</v>
      </c>
      <c r="L92" s="103">
        <v>0</v>
      </c>
      <c r="M92" s="103">
        <v>0</v>
      </c>
      <c r="N92" s="115">
        <f>H92</f>
        <v>79650</v>
      </c>
      <c r="O92" s="103"/>
      <c r="P92" s="103">
        <v>86500</v>
      </c>
      <c r="Q92" s="116">
        <f>ROUND(I92-SUM(J92:O92),0)</f>
        <v>415950</v>
      </c>
      <c r="R92" s="19" t="s">
        <v>233</v>
      </c>
      <c r="S92" s="116">
        <v>217950</v>
      </c>
      <c r="T92" s="65" t="s">
        <v>81</v>
      </c>
      <c r="U92" s="62" t="s">
        <v>93</v>
      </c>
    </row>
    <row r="93" spans="1:78" x14ac:dyDescent="0.25">
      <c r="A93" s="59">
        <v>59578</v>
      </c>
      <c r="B93" s="100" t="s">
        <v>199</v>
      </c>
      <c r="C93" s="101"/>
      <c r="D93" s="102">
        <v>15</v>
      </c>
      <c r="E93" s="103">
        <f>H92</f>
        <v>79650</v>
      </c>
      <c r="F93" s="103"/>
      <c r="G93" s="103"/>
      <c r="H93" s="103"/>
      <c r="I93" s="103"/>
      <c r="J93" s="103"/>
      <c r="K93" s="103"/>
      <c r="L93" s="103"/>
      <c r="M93" s="103"/>
      <c r="N93" s="103"/>
      <c r="O93" s="100"/>
      <c r="P93" s="100"/>
      <c r="Q93" s="115">
        <f>N92</f>
        <v>79650</v>
      </c>
      <c r="R93" s="20"/>
      <c r="S93" s="103">
        <v>49500</v>
      </c>
      <c r="T93" s="120" t="s">
        <v>262</v>
      </c>
      <c r="U93" s="62"/>
    </row>
    <row r="94" spans="1:78" x14ac:dyDescent="0.25">
      <c r="A94" s="20"/>
      <c r="B94" s="100"/>
      <c r="C94" s="101"/>
      <c r="D94" s="102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0"/>
      <c r="P94" s="100"/>
      <c r="Q94" s="124"/>
      <c r="R94" s="20"/>
      <c r="S94" s="103">
        <v>247500</v>
      </c>
      <c r="T94" s="120" t="s">
        <v>268</v>
      </c>
      <c r="U94" s="62"/>
    </row>
    <row r="95" spans="1:78" x14ac:dyDescent="0.25">
      <c r="A95" s="20"/>
      <c r="B95" s="100"/>
      <c r="C95" s="101"/>
      <c r="D95" s="102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0"/>
      <c r="P95" s="100"/>
      <c r="Q95" s="124"/>
      <c r="R95" s="20"/>
      <c r="S95" s="103"/>
      <c r="T95" s="120"/>
      <c r="U95" s="62"/>
    </row>
    <row r="96" spans="1:78" s="60" customFormat="1" x14ac:dyDescent="0.25">
      <c r="A96" s="59">
        <v>59709</v>
      </c>
      <c r="B96" s="106"/>
      <c r="C96" s="107"/>
      <c r="D96" s="108"/>
      <c r="E96" s="109"/>
      <c r="F96" s="109"/>
      <c r="G96" s="109"/>
      <c r="H96" s="110"/>
      <c r="I96" s="109"/>
      <c r="J96" s="110"/>
      <c r="K96" s="110"/>
      <c r="L96" s="110"/>
      <c r="M96" s="110"/>
      <c r="N96" s="110"/>
      <c r="O96" s="111"/>
      <c r="P96" s="111"/>
      <c r="Q96" s="109"/>
      <c r="R96" s="59">
        <v>59709</v>
      </c>
      <c r="S96" s="109"/>
      <c r="T96" s="109"/>
      <c r="U96" s="64">
        <f>SUM(Q92:Q93,0)-SUM(S92:S95,0)</f>
        <v>-19350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</row>
    <row r="97" spans="1:78" s="3" customFormat="1" x14ac:dyDescent="0.25">
      <c r="A97" s="59">
        <v>59709</v>
      </c>
      <c r="B97" s="125" t="s">
        <v>78</v>
      </c>
      <c r="C97" s="126">
        <v>45208</v>
      </c>
      <c r="D97" s="127" t="s">
        <v>202</v>
      </c>
      <c r="E97" s="122">
        <v>986968.4</v>
      </c>
      <c r="F97" s="122">
        <f>17151.2+(386*20)</f>
        <v>24871.200000000001</v>
      </c>
      <c r="G97" s="122">
        <f>E97-F97</f>
        <v>962097.20000000007</v>
      </c>
      <c r="H97" s="103">
        <f>G97*18%</f>
        <v>173177.49600000001</v>
      </c>
      <c r="I97" s="122">
        <f>G97+H97</f>
        <v>1135274.696</v>
      </c>
      <c r="J97" s="122">
        <f>G97*$J$9</f>
        <v>9620.9720000000016</v>
      </c>
      <c r="K97" s="122">
        <f>G97*$K$9</f>
        <v>48104.860000000008</v>
      </c>
      <c r="L97" s="122">
        <f>G97*$L$9</f>
        <v>48104.860000000008</v>
      </c>
      <c r="M97" s="122">
        <f>G97*$M$9</f>
        <v>96209.720000000016</v>
      </c>
      <c r="N97" s="128">
        <f>H97</f>
        <v>173177.49600000001</v>
      </c>
      <c r="O97" s="122">
        <v>178264</v>
      </c>
      <c r="P97" s="122">
        <v>192419</v>
      </c>
      <c r="Q97" s="129">
        <f>ROUND(I97-SUM(J97:O97),0)</f>
        <v>581793</v>
      </c>
      <c r="R97" s="19" t="s">
        <v>234</v>
      </c>
      <c r="S97" s="116">
        <v>581792</v>
      </c>
      <c r="T97" s="65" t="s">
        <v>82</v>
      </c>
      <c r="U97" s="6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</row>
    <row r="98" spans="1:78" s="3" customFormat="1" x14ac:dyDescent="0.25">
      <c r="A98" s="59">
        <v>59709</v>
      </c>
      <c r="B98" s="130" t="s">
        <v>199</v>
      </c>
      <c r="C98" s="131"/>
      <c r="D98" s="127" t="s">
        <v>202</v>
      </c>
      <c r="E98" s="132">
        <f>N97</f>
        <v>173177.49600000001</v>
      </c>
      <c r="F98" s="132"/>
      <c r="G98" s="132"/>
      <c r="H98" s="132"/>
      <c r="I98" s="132"/>
      <c r="J98" s="132"/>
      <c r="K98" s="132"/>
      <c r="L98" s="132"/>
      <c r="M98" s="132"/>
      <c r="N98" s="132"/>
      <c r="O98" s="130"/>
      <c r="P98" s="130"/>
      <c r="Q98" s="115">
        <f>E98</f>
        <v>173177.49600000001</v>
      </c>
      <c r="R98" s="21"/>
      <c r="S98" s="116">
        <v>99000</v>
      </c>
      <c r="T98" s="65" t="s">
        <v>221</v>
      </c>
      <c r="U98" s="6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</row>
    <row r="99" spans="1:78" s="3" customFormat="1" x14ac:dyDescent="0.25">
      <c r="A99" s="21"/>
      <c r="B99" s="130"/>
      <c r="C99" s="131"/>
      <c r="D99" s="133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0"/>
      <c r="P99" s="130"/>
      <c r="Q99" s="132"/>
      <c r="R99" s="21"/>
      <c r="S99" s="116">
        <v>297000</v>
      </c>
      <c r="T99" s="65" t="s">
        <v>240</v>
      </c>
      <c r="U99" s="6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</row>
    <row r="100" spans="1:78" s="3" customFormat="1" x14ac:dyDescent="0.25">
      <c r="A100" s="21"/>
      <c r="B100" s="130"/>
      <c r="C100" s="131"/>
      <c r="D100" s="133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0"/>
      <c r="P100" s="130"/>
      <c r="Q100" s="132"/>
      <c r="R100" s="21"/>
      <c r="S100" s="116">
        <v>173177</v>
      </c>
      <c r="T100" s="65" t="s">
        <v>250</v>
      </c>
      <c r="U100" s="6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</row>
    <row r="101" spans="1:78" s="3" customFormat="1" x14ac:dyDescent="0.25">
      <c r="A101" s="21"/>
      <c r="B101" s="130"/>
      <c r="C101" s="131"/>
      <c r="D101" s="133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0"/>
      <c r="P101" s="130"/>
      <c r="Q101" s="132"/>
      <c r="R101" s="21"/>
      <c r="S101" s="65">
        <v>99000</v>
      </c>
      <c r="T101" s="65" t="s">
        <v>277</v>
      </c>
      <c r="U101" s="6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</row>
    <row r="102" spans="1:78" s="3" customFormat="1" x14ac:dyDescent="0.15">
      <c r="A102" s="21"/>
      <c r="B102" s="130"/>
      <c r="C102" s="131"/>
      <c r="D102" s="133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0"/>
      <c r="P102" s="130"/>
      <c r="Q102" s="132"/>
      <c r="R102" s="21"/>
      <c r="S102" s="103"/>
      <c r="T102" s="134"/>
      <c r="U102" s="6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</row>
    <row r="103" spans="1:78" s="60" customFormat="1" x14ac:dyDescent="0.25">
      <c r="A103" s="59">
        <v>59864</v>
      </c>
      <c r="B103" s="106"/>
      <c r="C103" s="107"/>
      <c r="D103" s="108"/>
      <c r="E103" s="109"/>
      <c r="F103" s="109"/>
      <c r="G103" s="109"/>
      <c r="H103" s="110"/>
      <c r="I103" s="109"/>
      <c r="J103" s="110"/>
      <c r="K103" s="110"/>
      <c r="L103" s="110"/>
      <c r="M103" s="110"/>
      <c r="N103" s="110"/>
      <c r="O103" s="111"/>
      <c r="P103" s="111"/>
      <c r="Q103" s="109"/>
      <c r="R103" s="59">
        <v>59864</v>
      </c>
      <c r="S103" s="109"/>
      <c r="T103" s="109"/>
      <c r="U103" s="64">
        <f>SUM(Q97:Q102,0)-SUM(S97:S102,0)</f>
        <v>-494998.50399999996</v>
      </c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</row>
    <row r="104" spans="1:78" x14ac:dyDescent="0.25">
      <c r="A104" s="59">
        <v>59864</v>
      </c>
      <c r="B104" s="125" t="s">
        <v>83</v>
      </c>
      <c r="C104" s="126">
        <v>45210</v>
      </c>
      <c r="D104" s="127" t="s">
        <v>203</v>
      </c>
      <c r="E104" s="122">
        <v>1100033</v>
      </c>
      <c r="F104" s="122">
        <f>49451+71928+137082+(339*20)</f>
        <v>265241</v>
      </c>
      <c r="G104" s="122">
        <f>E104-F104</f>
        <v>834792</v>
      </c>
      <c r="H104" s="103">
        <f t="shared" ref="H104:H105" si="1">G104*18%</f>
        <v>150262.56</v>
      </c>
      <c r="I104" s="122">
        <f>G104+H104</f>
        <v>985054.56</v>
      </c>
      <c r="J104" s="122">
        <f>G104*$J$9</f>
        <v>8347.92</v>
      </c>
      <c r="K104" s="122">
        <f>G104*$K$9</f>
        <v>41739.600000000006</v>
      </c>
      <c r="L104" s="122">
        <f>G104*$L$9</f>
        <v>41739.600000000006</v>
      </c>
      <c r="M104" s="122">
        <f>G104*$M$9</f>
        <v>83479.200000000012</v>
      </c>
      <c r="N104" s="128">
        <f>H104</f>
        <v>150262.56</v>
      </c>
      <c r="O104" s="122">
        <v>58144</v>
      </c>
      <c r="P104" s="122">
        <v>166958</v>
      </c>
      <c r="Q104" s="129">
        <f>ROUND(I104-SUM(J104:O104),0)</f>
        <v>601342</v>
      </c>
      <c r="R104" s="19" t="s">
        <v>235</v>
      </c>
      <c r="S104" s="116">
        <v>601341</v>
      </c>
      <c r="T104" s="65" t="s">
        <v>94</v>
      </c>
      <c r="U104" s="62"/>
    </row>
    <row r="105" spans="1:78" x14ac:dyDescent="0.25">
      <c r="A105" s="59">
        <v>59864</v>
      </c>
      <c r="B105" s="125" t="s">
        <v>83</v>
      </c>
      <c r="C105" s="126">
        <v>45297</v>
      </c>
      <c r="D105" s="127" t="s">
        <v>204</v>
      </c>
      <c r="E105" s="122">
        <v>388928</v>
      </c>
      <c r="F105" s="122"/>
      <c r="G105" s="122">
        <f>E105-F105</f>
        <v>388928</v>
      </c>
      <c r="H105" s="103">
        <f t="shared" si="1"/>
        <v>70007.039999999994</v>
      </c>
      <c r="I105" s="122">
        <f>G105+H105</f>
        <v>458935.03999999998</v>
      </c>
      <c r="J105" s="122">
        <f>G105*$J$9</f>
        <v>3889.28</v>
      </c>
      <c r="K105" s="122">
        <f>G105*$K$9</f>
        <v>19446.400000000001</v>
      </c>
      <c r="L105" s="122">
        <f>G105*10%</f>
        <v>38892.800000000003</v>
      </c>
      <c r="M105" s="122">
        <f>G105*$M$9</f>
        <v>38892.800000000003</v>
      </c>
      <c r="N105" s="128">
        <f>H105</f>
        <v>70007.039999999994</v>
      </c>
      <c r="O105" s="122">
        <v>35597</v>
      </c>
      <c r="P105" s="122"/>
      <c r="Q105" s="129">
        <f>ROUND(I105-SUM(J105:O105),0)</f>
        <v>252210</v>
      </c>
      <c r="R105" s="19"/>
      <c r="S105" s="116">
        <v>148500</v>
      </c>
      <c r="T105" s="65" t="s">
        <v>85</v>
      </c>
      <c r="U105" s="62"/>
    </row>
    <row r="106" spans="1:78" x14ac:dyDescent="0.25">
      <c r="A106" s="59">
        <v>59864</v>
      </c>
      <c r="B106" s="130" t="s">
        <v>199</v>
      </c>
      <c r="C106" s="131"/>
      <c r="D106" s="127" t="s">
        <v>204</v>
      </c>
      <c r="E106" s="132">
        <f>N104+N105</f>
        <v>220269.59999999998</v>
      </c>
      <c r="F106" s="132"/>
      <c r="G106" s="132"/>
      <c r="H106" s="132"/>
      <c r="I106" s="132"/>
      <c r="J106" s="132"/>
      <c r="K106" s="132"/>
      <c r="L106" s="132"/>
      <c r="M106" s="132"/>
      <c r="N106" s="132"/>
      <c r="O106" s="130"/>
      <c r="P106" s="130"/>
      <c r="Q106" s="115">
        <f>E106</f>
        <v>220269.59999999998</v>
      </c>
      <c r="R106" s="19"/>
      <c r="S106" s="116">
        <v>165371</v>
      </c>
      <c r="T106" s="65" t="s">
        <v>216</v>
      </c>
      <c r="U106" s="62"/>
    </row>
    <row r="107" spans="1:78" x14ac:dyDescent="0.25">
      <c r="A107" s="59">
        <v>59864</v>
      </c>
      <c r="B107" s="125" t="s">
        <v>83</v>
      </c>
      <c r="C107" s="131" t="s">
        <v>237</v>
      </c>
      <c r="D107" s="127" t="s">
        <v>264</v>
      </c>
      <c r="E107" s="132">
        <v>158400</v>
      </c>
      <c r="F107" s="132"/>
      <c r="G107" s="122">
        <f>E107-F107</f>
        <v>158400</v>
      </c>
      <c r="H107" s="103">
        <f t="shared" ref="H107" si="2">G107*18%</f>
        <v>28512</v>
      </c>
      <c r="I107" s="122">
        <f>G107+H107</f>
        <v>186912</v>
      </c>
      <c r="J107" s="122">
        <f>G107*$J$9</f>
        <v>1584</v>
      </c>
      <c r="K107" s="122">
        <f>G107*$K$9</f>
        <v>7920</v>
      </c>
      <c r="L107" s="122">
        <f>G107*10%</f>
        <v>15840</v>
      </c>
      <c r="M107" s="122">
        <f>G107*$M$9</f>
        <v>15840</v>
      </c>
      <c r="N107" s="122">
        <f>H107</f>
        <v>28512</v>
      </c>
      <c r="O107" s="122"/>
      <c r="P107" s="122"/>
      <c r="Q107" s="129">
        <f>ROUND(I107-SUM(J107:O107),0)</f>
        <v>117216</v>
      </c>
      <c r="R107" s="19"/>
      <c r="S107" s="116">
        <v>148500</v>
      </c>
      <c r="T107" s="65" t="s">
        <v>222</v>
      </c>
      <c r="U107" s="62"/>
    </row>
    <row r="108" spans="1:78" x14ac:dyDescent="0.25">
      <c r="A108" s="19"/>
      <c r="B108" s="125"/>
      <c r="C108" s="131"/>
      <c r="D108" s="127"/>
      <c r="E108" s="132"/>
      <c r="F108" s="132"/>
      <c r="G108" s="122"/>
      <c r="H108" s="103"/>
      <c r="I108" s="122"/>
      <c r="J108" s="122"/>
      <c r="K108" s="122"/>
      <c r="L108" s="122"/>
      <c r="M108" s="122"/>
      <c r="N108" s="122"/>
      <c r="O108" s="122"/>
      <c r="P108" s="122"/>
      <c r="Q108" s="122"/>
      <c r="R108" s="19"/>
      <c r="S108" s="103">
        <v>99000</v>
      </c>
      <c r="T108" s="65" t="s">
        <v>263</v>
      </c>
      <c r="U108" s="62"/>
    </row>
    <row r="109" spans="1:78" x14ac:dyDescent="0.25">
      <c r="A109" s="19"/>
      <c r="B109" s="125"/>
      <c r="C109" s="131"/>
      <c r="D109" s="127"/>
      <c r="E109" s="132"/>
      <c r="F109" s="132"/>
      <c r="G109" s="122"/>
      <c r="H109" s="103"/>
      <c r="I109" s="122"/>
      <c r="J109" s="122"/>
      <c r="K109" s="122"/>
      <c r="L109" s="122"/>
      <c r="M109" s="122"/>
      <c r="N109" s="122"/>
      <c r="O109" s="122"/>
      <c r="P109" s="122"/>
      <c r="Q109" s="122"/>
      <c r="R109" s="19"/>
      <c r="S109" s="103">
        <v>99000</v>
      </c>
      <c r="T109" s="65" t="s">
        <v>272</v>
      </c>
      <c r="U109" s="62"/>
    </row>
    <row r="110" spans="1:78" s="60" customFormat="1" x14ac:dyDescent="0.25">
      <c r="A110" s="59">
        <v>60067</v>
      </c>
      <c r="B110" s="106"/>
      <c r="C110" s="107"/>
      <c r="D110" s="108"/>
      <c r="E110" s="109"/>
      <c r="F110" s="109"/>
      <c r="G110" s="109"/>
      <c r="H110" s="110"/>
      <c r="I110" s="109"/>
      <c r="J110" s="110"/>
      <c r="K110" s="110"/>
      <c r="L110" s="110"/>
      <c r="M110" s="110"/>
      <c r="N110" s="110"/>
      <c r="O110" s="111"/>
      <c r="P110" s="111"/>
      <c r="Q110" s="109"/>
      <c r="R110" s="59">
        <v>60067</v>
      </c>
      <c r="S110" s="109"/>
      <c r="T110" s="109"/>
      <c r="U110" s="64">
        <f>SUM(Q104:Q109,0)-SUM(S104:S109,0)</f>
        <v>-70674.399999999907</v>
      </c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</row>
    <row r="111" spans="1:78" ht="42.75" x14ac:dyDescent="0.25">
      <c r="A111" s="59">
        <v>60067</v>
      </c>
      <c r="B111" s="100" t="s">
        <v>293</v>
      </c>
      <c r="C111" s="101">
        <v>45236</v>
      </c>
      <c r="D111" s="127" t="s">
        <v>206</v>
      </c>
      <c r="E111" s="103">
        <v>1043683</v>
      </c>
      <c r="F111" s="103">
        <f>1440+77322</f>
        <v>78762</v>
      </c>
      <c r="G111" s="122">
        <f>E111-F111</f>
        <v>964921</v>
      </c>
      <c r="H111" s="103">
        <f t="shared" ref="H111" si="3">G111*18%</f>
        <v>173685.78</v>
      </c>
      <c r="I111" s="122">
        <f>G111+H111</f>
        <v>1138606.78</v>
      </c>
      <c r="J111" s="122">
        <f>G111*$J$9</f>
        <v>9649.2100000000009</v>
      </c>
      <c r="K111" s="122">
        <f>G111*$K$9</f>
        <v>48246.05</v>
      </c>
      <c r="L111" s="122">
        <f>G111*10%</f>
        <v>96492.1</v>
      </c>
      <c r="M111" s="122">
        <f>G111*10%</f>
        <v>96492.1</v>
      </c>
      <c r="N111" s="128">
        <f>H111</f>
        <v>173685.78</v>
      </c>
      <c r="O111" s="122"/>
      <c r="P111" s="122"/>
      <c r="Q111" s="129">
        <f>ROUND(I111-SUM(J111:O111),0)</f>
        <v>714042</v>
      </c>
      <c r="R111" s="19"/>
      <c r="S111" s="116">
        <v>346500</v>
      </c>
      <c r="T111" s="65" t="s">
        <v>84</v>
      </c>
      <c r="U111" s="62"/>
    </row>
    <row r="112" spans="1:78" x14ac:dyDescent="0.25">
      <c r="A112" s="59">
        <v>60067</v>
      </c>
      <c r="B112" s="100" t="s">
        <v>199</v>
      </c>
      <c r="C112" s="101"/>
      <c r="D112" s="102" t="s">
        <v>208</v>
      </c>
      <c r="E112" s="103">
        <f>N111</f>
        <v>173685.78</v>
      </c>
      <c r="F112" s="103"/>
      <c r="G112" s="103"/>
      <c r="H112" s="103"/>
      <c r="I112" s="103"/>
      <c r="J112" s="103"/>
      <c r="K112" s="103"/>
      <c r="L112" s="103"/>
      <c r="M112" s="103"/>
      <c r="N112" s="103"/>
      <c r="O112" s="100"/>
      <c r="P112" s="100"/>
      <c r="Q112" s="115">
        <f>E112</f>
        <v>173685.78</v>
      </c>
      <c r="R112" s="19"/>
      <c r="S112" s="116">
        <v>367541</v>
      </c>
      <c r="T112" s="135" t="s">
        <v>200</v>
      </c>
      <c r="U112" s="62"/>
    </row>
    <row r="113" spans="1:78" x14ac:dyDescent="0.25">
      <c r="A113" s="19"/>
      <c r="B113" s="100"/>
      <c r="C113" s="101"/>
      <c r="D113" s="102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0"/>
      <c r="P113" s="100"/>
      <c r="Q113" s="103"/>
      <c r="R113" s="19"/>
      <c r="S113" s="116">
        <v>173686</v>
      </c>
      <c r="T113" s="135" t="s">
        <v>217</v>
      </c>
      <c r="U113" s="62"/>
    </row>
    <row r="114" spans="1:78" x14ac:dyDescent="0.25">
      <c r="A114" s="19"/>
      <c r="B114" s="100"/>
      <c r="C114" s="101"/>
      <c r="D114" s="102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0"/>
      <c r="P114" s="100"/>
      <c r="Q114" s="103"/>
      <c r="R114" s="19"/>
      <c r="S114" s="132"/>
      <c r="T114" s="135"/>
      <c r="U114" s="62"/>
    </row>
    <row r="115" spans="1:78" s="60" customFormat="1" x14ac:dyDescent="0.25">
      <c r="A115" s="59">
        <v>60069</v>
      </c>
      <c r="B115" s="106"/>
      <c r="C115" s="107"/>
      <c r="D115" s="108"/>
      <c r="E115" s="109"/>
      <c r="F115" s="109"/>
      <c r="G115" s="109"/>
      <c r="H115" s="110"/>
      <c r="I115" s="109"/>
      <c r="J115" s="110"/>
      <c r="K115" s="110"/>
      <c r="L115" s="110"/>
      <c r="M115" s="110"/>
      <c r="N115" s="110"/>
      <c r="O115" s="111"/>
      <c r="P115" s="111"/>
      <c r="Q115" s="109"/>
      <c r="R115" s="59">
        <v>60069</v>
      </c>
      <c r="S115" s="109"/>
      <c r="T115" s="109"/>
      <c r="U115" s="64">
        <f>SUM(Q111:Q114,0)-SUM(S111:S114,0)</f>
        <v>0.78000000002793968</v>
      </c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</row>
    <row r="116" spans="1:78" ht="42.75" x14ac:dyDescent="0.25">
      <c r="A116" s="59">
        <v>60069</v>
      </c>
      <c r="B116" s="100" t="s">
        <v>267</v>
      </c>
      <c r="C116" s="101">
        <v>45236</v>
      </c>
      <c r="D116" s="127" t="s">
        <v>209</v>
      </c>
      <c r="E116" s="103">
        <v>747459</v>
      </c>
      <c r="F116" s="103">
        <v>4060</v>
      </c>
      <c r="G116" s="122">
        <f>E116-F116</f>
        <v>743399</v>
      </c>
      <c r="H116" s="103">
        <f t="shared" ref="H116" si="4">G116*18%</f>
        <v>133811.82</v>
      </c>
      <c r="I116" s="122">
        <f>G116+H116</f>
        <v>877210.82000000007</v>
      </c>
      <c r="J116" s="122">
        <f>G116*$J$9</f>
        <v>7433.99</v>
      </c>
      <c r="K116" s="122">
        <f>G116*$K$9</f>
        <v>37169.950000000004</v>
      </c>
      <c r="L116" s="122">
        <f>G116*10%</f>
        <v>74339.900000000009</v>
      </c>
      <c r="M116" s="122">
        <f>G116*10%</f>
        <v>74339.900000000009</v>
      </c>
      <c r="N116" s="128">
        <f>H116</f>
        <v>133811.82</v>
      </c>
      <c r="O116" s="122">
        <v>15444</v>
      </c>
      <c r="P116" s="122"/>
      <c r="Q116" s="129">
        <f>ROUND(I116-SUM(J116:O116),0)</f>
        <v>534671</v>
      </c>
      <c r="R116" s="19"/>
      <c r="S116" s="116">
        <v>247500</v>
      </c>
      <c r="T116" s="65" t="s">
        <v>87</v>
      </c>
      <c r="U116" s="62"/>
    </row>
    <row r="117" spans="1:78" x14ac:dyDescent="0.25">
      <c r="A117" s="59">
        <v>60069</v>
      </c>
      <c r="B117" s="100" t="s">
        <v>199</v>
      </c>
      <c r="C117" s="101"/>
      <c r="D117" s="127" t="s">
        <v>209</v>
      </c>
      <c r="E117" s="103">
        <f>N116</f>
        <v>133811.82</v>
      </c>
      <c r="F117" s="103"/>
      <c r="G117" s="103"/>
      <c r="H117" s="103"/>
      <c r="I117" s="103"/>
      <c r="J117" s="103"/>
      <c r="K117" s="103"/>
      <c r="L117" s="103"/>
      <c r="M117" s="103"/>
      <c r="N117" s="103"/>
      <c r="O117" s="100"/>
      <c r="P117" s="100"/>
      <c r="Q117" s="115">
        <f>E117</f>
        <v>133811.82</v>
      </c>
      <c r="R117" s="20"/>
      <c r="S117" s="116">
        <v>287171</v>
      </c>
      <c r="T117" s="135" t="s">
        <v>201</v>
      </c>
      <c r="U117" s="62"/>
    </row>
    <row r="118" spans="1:78" ht="28.5" x14ac:dyDescent="0.25">
      <c r="A118" s="59">
        <v>60069</v>
      </c>
      <c r="B118" s="100" t="s">
        <v>294</v>
      </c>
      <c r="C118" s="101">
        <v>45334</v>
      </c>
      <c r="D118" s="102">
        <v>25</v>
      </c>
      <c r="E118" s="103">
        <v>809672</v>
      </c>
      <c r="F118" s="103">
        <f>284125+8120</f>
        <v>292245</v>
      </c>
      <c r="G118" s="122">
        <f>E118-F118</f>
        <v>517427</v>
      </c>
      <c r="H118" s="103">
        <f t="shared" ref="H118" si="5">G118*18%</f>
        <v>93136.86</v>
      </c>
      <c r="I118" s="122">
        <f>G118+H118</f>
        <v>610563.86</v>
      </c>
      <c r="J118" s="122">
        <f>G118*$J$9</f>
        <v>5174.2700000000004</v>
      </c>
      <c r="K118" s="122">
        <f>G118*$K$9</f>
        <v>25871.350000000002</v>
      </c>
      <c r="L118" s="122">
        <f>G118*10%</f>
        <v>51742.700000000004</v>
      </c>
      <c r="M118" s="122">
        <f>G118*10%</f>
        <v>51742.700000000004</v>
      </c>
      <c r="N118" s="128">
        <f>H118</f>
        <v>93136.86</v>
      </c>
      <c r="O118" s="122">
        <v>148246</v>
      </c>
      <c r="P118" s="122"/>
      <c r="Q118" s="129">
        <f>ROUND(I118-SUM(J118:O118),0)</f>
        <v>234650</v>
      </c>
      <c r="R118" s="20"/>
      <c r="S118" s="116">
        <v>234650</v>
      </c>
      <c r="T118" s="65" t="s">
        <v>218</v>
      </c>
      <c r="U118" s="62"/>
    </row>
    <row r="119" spans="1:78" x14ac:dyDescent="0.25">
      <c r="A119" s="59">
        <v>60069</v>
      </c>
      <c r="B119" s="100" t="s">
        <v>199</v>
      </c>
      <c r="C119" s="101"/>
      <c r="D119" s="102">
        <v>25</v>
      </c>
      <c r="E119" s="103">
        <f>N118</f>
        <v>93136.86</v>
      </c>
      <c r="F119" s="103"/>
      <c r="G119" s="122"/>
      <c r="H119" s="103"/>
      <c r="I119" s="122"/>
      <c r="J119" s="122"/>
      <c r="K119" s="122"/>
      <c r="L119" s="122"/>
      <c r="M119" s="122"/>
      <c r="N119" s="122"/>
      <c r="O119" s="122"/>
      <c r="P119" s="122"/>
      <c r="Q119" s="128">
        <f>E119</f>
        <v>93136.86</v>
      </c>
      <c r="R119" s="20"/>
      <c r="S119" s="116">
        <v>133812</v>
      </c>
      <c r="T119" s="65" t="s">
        <v>219</v>
      </c>
      <c r="U119" s="62"/>
    </row>
    <row r="120" spans="1:78" x14ac:dyDescent="0.25">
      <c r="A120" s="20"/>
      <c r="B120" s="100"/>
      <c r="C120" s="101"/>
      <c r="D120" s="102"/>
      <c r="E120" s="103"/>
      <c r="F120" s="103"/>
      <c r="G120" s="122"/>
      <c r="H120" s="103"/>
      <c r="I120" s="122"/>
      <c r="J120" s="122"/>
      <c r="K120" s="122"/>
      <c r="L120" s="122"/>
      <c r="M120" s="122"/>
      <c r="N120" s="122"/>
      <c r="O120" s="122"/>
      <c r="P120" s="122"/>
      <c r="Q120" s="122"/>
      <c r="R120" s="20"/>
      <c r="S120" s="103">
        <v>100000</v>
      </c>
      <c r="T120" s="135" t="s">
        <v>245</v>
      </c>
      <c r="U120" s="62"/>
    </row>
    <row r="121" spans="1:78" x14ac:dyDescent="0.25">
      <c r="A121" s="20"/>
      <c r="B121" s="100"/>
      <c r="C121" s="101"/>
      <c r="D121" s="102"/>
      <c r="E121" s="103"/>
      <c r="F121" s="103"/>
      <c r="G121" s="122"/>
      <c r="H121" s="103"/>
      <c r="I121" s="122"/>
      <c r="J121" s="122"/>
      <c r="K121" s="122"/>
      <c r="L121" s="122"/>
      <c r="M121" s="122"/>
      <c r="N121" s="122"/>
      <c r="O121" s="122"/>
      <c r="P121" s="122"/>
      <c r="Q121" s="122"/>
      <c r="R121" s="20"/>
      <c r="S121" s="103">
        <v>99000</v>
      </c>
      <c r="T121" s="135" t="s">
        <v>271</v>
      </c>
      <c r="U121" s="62"/>
    </row>
    <row r="122" spans="1:78" s="60" customFormat="1" x14ac:dyDescent="0.25">
      <c r="A122" s="59">
        <v>60090</v>
      </c>
      <c r="B122" s="106"/>
      <c r="C122" s="107"/>
      <c r="D122" s="108"/>
      <c r="E122" s="109"/>
      <c r="F122" s="109"/>
      <c r="G122" s="109"/>
      <c r="H122" s="110"/>
      <c r="I122" s="109"/>
      <c r="J122" s="110"/>
      <c r="K122" s="110"/>
      <c r="L122" s="110"/>
      <c r="M122" s="110"/>
      <c r="N122" s="110"/>
      <c r="O122" s="111"/>
      <c r="P122" s="111"/>
      <c r="Q122" s="109"/>
      <c r="R122" s="59">
        <v>60090</v>
      </c>
      <c r="S122" s="109"/>
      <c r="T122" s="109"/>
      <c r="U122" s="64">
        <f>SUM(Q116:Q121,0)-SUM(S116:S121,0)</f>
        <v>-105863.31999999995</v>
      </c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</row>
    <row r="123" spans="1:78" ht="28.5" x14ac:dyDescent="0.25">
      <c r="A123" s="59">
        <v>60090</v>
      </c>
      <c r="B123" s="100" t="s">
        <v>295</v>
      </c>
      <c r="C123" s="101">
        <v>37566</v>
      </c>
      <c r="D123" s="127" t="s">
        <v>207</v>
      </c>
      <c r="E123" s="103">
        <v>802210</v>
      </c>
      <c r="F123" s="103"/>
      <c r="G123" s="122">
        <f>E123-F123</f>
        <v>802210</v>
      </c>
      <c r="H123" s="103">
        <f t="shared" ref="H123" si="6">G123*18%</f>
        <v>144397.79999999999</v>
      </c>
      <c r="I123" s="122">
        <f>G123+H123</f>
        <v>946607.8</v>
      </c>
      <c r="J123" s="122">
        <f>G123*$J$9</f>
        <v>8022.1</v>
      </c>
      <c r="K123" s="122">
        <f>G123*$K$9</f>
        <v>40110.5</v>
      </c>
      <c r="L123" s="122">
        <f>G123*10%</f>
        <v>80221</v>
      </c>
      <c r="M123" s="122">
        <f>G123*10%</f>
        <v>80221</v>
      </c>
      <c r="N123" s="128">
        <f>H123</f>
        <v>144397.79999999999</v>
      </c>
      <c r="O123" s="122">
        <v>19725</v>
      </c>
      <c r="P123" s="122"/>
      <c r="Q123" s="129">
        <f>ROUND(I123-SUM(J123:O123),0)</f>
        <v>573910</v>
      </c>
      <c r="R123" s="19"/>
      <c r="S123" s="116">
        <v>297000</v>
      </c>
      <c r="T123" s="65" t="s">
        <v>86</v>
      </c>
      <c r="U123" s="62"/>
    </row>
    <row r="124" spans="1:78" x14ac:dyDescent="0.25">
      <c r="A124" s="59">
        <v>60090</v>
      </c>
      <c r="B124" s="100" t="s">
        <v>199</v>
      </c>
      <c r="C124" s="101"/>
      <c r="D124" s="102" t="s">
        <v>207</v>
      </c>
      <c r="E124" s="103">
        <f>N123</f>
        <v>144397.79999999999</v>
      </c>
      <c r="F124" s="103"/>
      <c r="G124" s="103"/>
      <c r="H124" s="103"/>
      <c r="I124" s="103"/>
      <c r="J124" s="103"/>
      <c r="K124" s="103"/>
      <c r="L124" s="103"/>
      <c r="M124" s="103"/>
      <c r="N124" s="103"/>
      <c r="O124" s="20"/>
      <c r="P124" s="20"/>
      <c r="Q124" s="115">
        <f>E124</f>
        <v>144397.79999999999</v>
      </c>
      <c r="R124" s="20"/>
      <c r="S124" s="116">
        <v>200000</v>
      </c>
      <c r="T124" s="135" t="s">
        <v>205</v>
      </c>
      <c r="U124" s="62"/>
    </row>
    <row r="125" spans="1:78" x14ac:dyDescent="0.25">
      <c r="A125" s="20"/>
      <c r="B125" s="100"/>
      <c r="C125" s="101"/>
      <c r="D125" s="102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20"/>
      <c r="P125" s="20"/>
      <c r="Q125" s="124"/>
      <c r="R125" s="20"/>
      <c r="S125" s="116">
        <v>144398</v>
      </c>
      <c r="T125" s="135" t="s">
        <v>220</v>
      </c>
      <c r="U125" s="64">
        <f>SUM(Q123:Q125,0)-SUM(S123:S126,0)</f>
        <v>27409.800000000047</v>
      </c>
    </row>
    <row r="126" spans="1:78" x14ac:dyDescent="0.25">
      <c r="A126" s="20"/>
      <c r="B126" s="100"/>
      <c r="C126" s="101"/>
      <c r="D126" s="102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20"/>
      <c r="P126" s="20"/>
      <c r="Q126" s="124"/>
      <c r="R126" s="20"/>
      <c r="S126" s="132">
        <v>49500</v>
      </c>
      <c r="T126" s="135" t="s">
        <v>270</v>
      </c>
      <c r="U126" s="62"/>
    </row>
    <row r="127" spans="1:78" s="60" customFormat="1" x14ac:dyDescent="0.25">
      <c r="A127" s="59"/>
      <c r="B127" s="106"/>
      <c r="C127" s="107"/>
      <c r="D127" s="108"/>
      <c r="E127" s="109"/>
      <c r="F127" s="109"/>
      <c r="G127" s="109"/>
      <c r="H127" s="110"/>
      <c r="I127" s="109"/>
      <c r="J127" s="110"/>
      <c r="K127" s="110"/>
      <c r="L127" s="110"/>
      <c r="M127" s="110"/>
      <c r="N127" s="110"/>
      <c r="O127" s="111"/>
      <c r="P127" s="111"/>
      <c r="Q127" s="109"/>
      <c r="R127" s="59"/>
      <c r="S127" s="109"/>
      <c r="T127" s="109"/>
      <c r="U127" s="64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</row>
    <row r="128" spans="1:78" x14ac:dyDescent="0.25">
      <c r="A128" s="20"/>
      <c r="B128" s="100"/>
      <c r="C128" s="101"/>
      <c r="D128" s="102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20"/>
      <c r="P128" s="20"/>
      <c r="Q128" s="124"/>
      <c r="R128" s="20"/>
      <c r="S128" s="132"/>
      <c r="T128" s="135"/>
      <c r="U128" s="62"/>
    </row>
    <row r="129" spans="1:21" x14ac:dyDescent="0.25">
      <c r="A129" s="20"/>
      <c r="B129" s="100"/>
      <c r="C129" s="101"/>
      <c r="D129" s="102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20"/>
      <c r="P129" s="20"/>
      <c r="Q129" s="124"/>
      <c r="R129" s="20"/>
      <c r="S129" s="132"/>
      <c r="T129" s="135"/>
      <c r="U129" s="62"/>
    </row>
    <row r="130" spans="1:21" s="3" customFormat="1" x14ac:dyDescent="0.25">
      <c r="A130" s="21"/>
      <c r="B130" s="130"/>
      <c r="C130" s="131"/>
      <c r="D130" s="133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21"/>
      <c r="P130" s="21"/>
      <c r="Q130" s="132"/>
      <c r="R130" s="21"/>
      <c r="S130" s="132"/>
      <c r="T130" s="65"/>
      <c r="U130" s="135"/>
    </row>
    <row r="131" spans="1:21" s="3" customFormat="1" x14ac:dyDescent="0.25">
      <c r="A131" s="21"/>
      <c r="B131" s="130"/>
      <c r="C131" s="131"/>
      <c r="D131" s="133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21"/>
      <c r="P131" s="21"/>
      <c r="Q131" s="132"/>
      <c r="R131" s="21"/>
      <c r="S131" s="132"/>
      <c r="T131" s="65"/>
      <c r="U131" s="135"/>
    </row>
    <row r="132" spans="1:21" s="3" customFormat="1" ht="15.75" thickBot="1" x14ac:dyDescent="0.3">
      <c r="A132" s="136"/>
      <c r="B132" s="137"/>
      <c r="C132" s="138"/>
      <c r="D132" s="139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36"/>
      <c r="P132" s="136"/>
      <c r="Q132" s="140"/>
      <c r="R132" s="136"/>
      <c r="S132" s="140"/>
      <c r="T132" s="141"/>
      <c r="U132" s="142"/>
    </row>
    <row r="133" spans="1:21" x14ac:dyDescent="0.25">
      <c r="A133" s="22"/>
      <c r="B133" s="143"/>
      <c r="C133" s="144"/>
      <c r="D133" s="145"/>
      <c r="E133" s="146"/>
      <c r="F133" s="146"/>
      <c r="G133" s="22">
        <f>+SUM(G11:G125)</f>
        <v>20153787.719999999</v>
      </c>
      <c r="H133" s="22">
        <f>+SUM(H11:H125)</f>
        <v>3379208.7663999987</v>
      </c>
      <c r="I133" s="22"/>
      <c r="J133" s="22">
        <f t="shared" ref="J133:P133" si="7">+SUM(J11:J125)</f>
        <v>187733.61559999999</v>
      </c>
      <c r="K133" s="22">
        <f t="shared" si="7"/>
        <v>938670.07799999998</v>
      </c>
      <c r="L133" s="22">
        <f t="shared" si="7"/>
        <v>1180397.6939999999</v>
      </c>
      <c r="M133" s="22">
        <f t="shared" si="7"/>
        <v>1586222.2280000001</v>
      </c>
      <c r="N133" s="22">
        <f t="shared" si="7"/>
        <v>3379208.7663999987</v>
      </c>
      <c r="O133" s="22">
        <f t="shared" si="7"/>
        <v>1821344.82</v>
      </c>
      <c r="P133" s="22">
        <f t="shared" si="7"/>
        <v>1321736</v>
      </c>
      <c r="Q133" s="22">
        <f>+SUM(Q11:Q125)</f>
        <v>16705844.629599996</v>
      </c>
      <c r="R133" s="22"/>
      <c r="S133" s="22">
        <f>+SUM(S11:S132)</f>
        <v>18498649</v>
      </c>
      <c r="T133" s="22" t="s">
        <v>88</v>
      </c>
      <c r="U133" s="22">
        <f>+SUM(U11:U132)</f>
        <v>-1792804.3703999987</v>
      </c>
    </row>
    <row r="134" spans="1:21" ht="15.75" thickBot="1" x14ac:dyDescent="0.3">
      <c r="A134" s="23"/>
      <c r="B134" s="147"/>
      <c r="C134" s="148"/>
      <c r="D134" s="149"/>
      <c r="E134" s="150"/>
      <c r="F134" s="150"/>
      <c r="G134" s="150"/>
      <c r="H134" s="150"/>
      <c r="I134" s="150"/>
      <c r="J134" s="150"/>
      <c r="K134" s="150"/>
      <c r="L134" s="150"/>
      <c r="M134" s="150"/>
      <c r="N134" s="150"/>
      <c r="O134" s="147"/>
      <c r="P134" s="147"/>
      <c r="Q134" s="150"/>
      <c r="R134" s="23"/>
      <c r="S134" s="23">
        <f>+Q133-S133</f>
        <v>-1792804.3704000041</v>
      </c>
      <c r="T134" s="23" t="s">
        <v>89</v>
      </c>
      <c r="U134" s="66"/>
    </row>
    <row r="136" spans="1:21" ht="15.75" thickBot="1" x14ac:dyDescent="0.3">
      <c r="F136" s="2" t="s">
        <v>248</v>
      </c>
      <c r="G136" s="72">
        <f>G133*1%</f>
        <v>201537.87719999999</v>
      </c>
    </row>
    <row r="137" spans="1:21" ht="19.5" thickBot="1" x14ac:dyDescent="0.3">
      <c r="A137" s="88"/>
      <c r="B137" s="94"/>
      <c r="L137" s="173" t="s">
        <v>20</v>
      </c>
      <c r="M137" s="174"/>
      <c r="N137" s="174"/>
      <c r="O137" s="175"/>
      <c r="P137" s="78"/>
    </row>
    <row r="138" spans="1:21" ht="19.5" thickBot="1" x14ac:dyDescent="0.3">
      <c r="A138" s="88"/>
      <c r="B138" s="94"/>
      <c r="L138" s="161">
        <v>45636</v>
      </c>
      <c r="M138" s="171"/>
      <c r="N138" s="171"/>
      <c r="O138" s="172"/>
      <c r="P138" s="79"/>
    </row>
    <row r="139" spans="1:21" ht="18.75" x14ac:dyDescent="0.25">
      <c r="A139" s="88"/>
      <c r="B139" s="94"/>
      <c r="L139" s="169" t="s">
        <v>187</v>
      </c>
      <c r="M139" s="170"/>
      <c r="N139" s="167">
        <f>K133+L133+M133</f>
        <v>3705290</v>
      </c>
      <c r="O139" s="168"/>
      <c r="P139" s="78"/>
    </row>
    <row r="140" spans="1:21" ht="18.75" x14ac:dyDescent="0.25">
      <c r="A140" s="88"/>
      <c r="B140" s="94"/>
      <c r="L140" s="153" t="s">
        <v>188</v>
      </c>
      <c r="M140" s="154"/>
      <c r="N140" s="162">
        <f>S134</f>
        <v>-1792804.3704000041</v>
      </c>
      <c r="O140" s="163"/>
      <c r="P140" s="78"/>
    </row>
    <row r="141" spans="1:21" ht="18.75" x14ac:dyDescent="0.25">
      <c r="A141" s="88"/>
      <c r="B141" s="94"/>
      <c r="L141" s="153" t="s">
        <v>276</v>
      </c>
      <c r="M141" s="154"/>
      <c r="N141" s="155">
        <f>O133</f>
        <v>1821344.82</v>
      </c>
      <c r="O141" s="156"/>
      <c r="P141" s="80"/>
    </row>
    <row r="142" spans="1:21" ht="19.5" thickBot="1" x14ac:dyDescent="0.3">
      <c r="A142" s="88"/>
      <c r="B142" s="94"/>
      <c r="L142" s="157" t="s">
        <v>189</v>
      </c>
      <c r="M142" s="158"/>
      <c r="N142" s="159">
        <f>N107+N39</f>
        <v>150653.88</v>
      </c>
      <c r="O142" s="160"/>
      <c r="P142" s="78" t="s">
        <v>275</v>
      </c>
    </row>
    <row r="143" spans="1:21" x14ac:dyDescent="0.25">
      <c r="N143" s="72"/>
    </row>
    <row r="147" spans="7:10" x14ac:dyDescent="0.25">
      <c r="G147" s="16"/>
      <c r="H147" s="16"/>
      <c r="I147" s="74" t="s">
        <v>6</v>
      </c>
      <c r="J147" s="89" t="s">
        <v>243</v>
      </c>
    </row>
    <row r="148" spans="7:10" x14ac:dyDescent="0.25">
      <c r="G148" s="16" t="s">
        <v>241</v>
      </c>
      <c r="H148" s="16"/>
      <c r="I148" s="73">
        <f>Q88+Q89</f>
        <v>203748.47999999998</v>
      </c>
      <c r="J148" s="89">
        <v>59119</v>
      </c>
    </row>
    <row r="149" spans="7:10" x14ac:dyDescent="0.25">
      <c r="G149" s="16"/>
      <c r="H149" s="16"/>
      <c r="I149" s="81">
        <v>22575</v>
      </c>
      <c r="J149" s="89">
        <v>57202</v>
      </c>
    </row>
    <row r="150" spans="7:10" x14ac:dyDescent="0.25">
      <c r="G150" s="16"/>
      <c r="H150" s="16"/>
      <c r="I150" s="73">
        <f>Q98</f>
        <v>173177.49600000001</v>
      </c>
      <c r="J150" s="89">
        <v>59706</v>
      </c>
    </row>
    <row r="151" spans="7:10" x14ac:dyDescent="0.25">
      <c r="G151" s="16"/>
      <c r="H151" s="16"/>
      <c r="I151" s="74">
        <v>93137</v>
      </c>
      <c r="J151" s="89">
        <v>60069</v>
      </c>
    </row>
    <row r="152" spans="7:10" ht="15.75" thickBot="1" x14ac:dyDescent="0.3">
      <c r="G152" s="76" t="s">
        <v>242</v>
      </c>
      <c r="H152" s="76"/>
      <c r="I152" s="77">
        <f>SUM(I148:I151)</f>
        <v>492637.97600000002</v>
      </c>
      <c r="J152" s="75"/>
    </row>
    <row r="153" spans="7:10" ht="15.75" thickTop="1" x14ac:dyDescent="0.25">
      <c r="G153" s="10" t="s">
        <v>246</v>
      </c>
      <c r="H153" s="10" t="s">
        <v>247</v>
      </c>
      <c r="I153" s="2">
        <v>6608680</v>
      </c>
    </row>
    <row r="154" spans="7:10" x14ac:dyDescent="0.25">
      <c r="G154" s="10" t="s">
        <v>244</v>
      </c>
      <c r="H154" s="10">
        <f>I153*20%</f>
        <v>1321736</v>
      </c>
      <c r="I154" s="2">
        <f>I153*1%</f>
        <v>66086.8</v>
      </c>
      <c r="J154" s="72">
        <f>H154-I154</f>
        <v>1255649.2</v>
      </c>
    </row>
  </sheetData>
  <mergeCells count="10">
    <mergeCell ref="L141:M141"/>
    <mergeCell ref="N141:O141"/>
    <mergeCell ref="L142:M142"/>
    <mergeCell ref="N142:O142"/>
    <mergeCell ref="L137:O137"/>
    <mergeCell ref="L138:O138"/>
    <mergeCell ref="L139:M139"/>
    <mergeCell ref="N139:O139"/>
    <mergeCell ref="L140:M140"/>
    <mergeCell ref="N140:O1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workbookViewId="0">
      <selection activeCell="I25" sqref="I25"/>
    </sheetView>
  </sheetViews>
  <sheetFormatPr defaultRowHeight="15" x14ac:dyDescent="0.25"/>
  <cols>
    <col min="3" max="3" width="11.28515625" customWidth="1"/>
    <col min="4" max="5" width="12.28515625" bestFit="1" customWidth="1"/>
  </cols>
  <sheetData>
    <row r="4" spans="3:6" ht="15.75" thickBot="1" x14ac:dyDescent="0.3"/>
    <row r="5" spans="3:6" x14ac:dyDescent="0.25">
      <c r="C5" s="164" t="s">
        <v>20</v>
      </c>
      <c r="D5" s="165"/>
      <c r="E5" s="165"/>
      <c r="F5" s="166"/>
    </row>
    <row r="6" spans="3:6" x14ac:dyDescent="0.25">
      <c r="C6" s="82" t="s">
        <v>256</v>
      </c>
      <c r="D6" s="82" t="s">
        <v>254</v>
      </c>
      <c r="E6" s="82" t="s">
        <v>255</v>
      </c>
      <c r="F6" s="82"/>
    </row>
    <row r="7" spans="3:6" x14ac:dyDescent="0.25">
      <c r="C7" s="83">
        <v>1</v>
      </c>
      <c r="D7" s="83">
        <v>57724</v>
      </c>
      <c r="E7" s="84">
        <v>300000</v>
      </c>
      <c r="F7" s="83"/>
    </row>
    <row r="8" spans="3:6" x14ac:dyDescent="0.25">
      <c r="C8" s="83">
        <v>2</v>
      </c>
      <c r="D8" s="83">
        <v>54234</v>
      </c>
      <c r="E8" s="84">
        <v>400000</v>
      </c>
      <c r="F8" s="83"/>
    </row>
    <row r="9" spans="3:6" x14ac:dyDescent="0.25">
      <c r="C9" s="83">
        <v>3</v>
      </c>
      <c r="D9" s="83">
        <v>52830</v>
      </c>
      <c r="E9" s="84">
        <v>200000</v>
      </c>
      <c r="F9" s="83"/>
    </row>
    <row r="10" spans="3:6" x14ac:dyDescent="0.25">
      <c r="C10" s="83"/>
      <c r="D10" s="83"/>
      <c r="E10" s="83"/>
      <c r="F10" s="83"/>
    </row>
    <row r="11" spans="3:6" ht="15.75" thickBot="1" x14ac:dyDescent="0.3">
      <c r="C11" s="85"/>
      <c r="D11" s="86" t="s">
        <v>186</v>
      </c>
      <c r="E11" s="87">
        <f>SUM(E7:E10)</f>
        <v>900000</v>
      </c>
      <c r="F11" s="85"/>
    </row>
  </sheetData>
  <mergeCells count="1">
    <mergeCell ref="C5:F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J3" sqref="J3:J10"/>
    </sheetView>
  </sheetViews>
  <sheetFormatPr defaultColWidth="9.140625" defaultRowHeight="15" x14ac:dyDescent="0.25"/>
  <cols>
    <col min="1" max="1" width="5.85546875" customWidth="1"/>
    <col min="2" max="2" width="11.5703125" customWidth="1"/>
    <col min="3" max="3" width="10.28515625" customWidth="1"/>
    <col min="4" max="4" width="35.140625" customWidth="1"/>
    <col min="5" max="5" width="12" customWidth="1"/>
    <col min="6" max="6" width="10.140625" customWidth="1"/>
    <col min="7" max="8" width="11.42578125" customWidth="1"/>
    <col min="9" max="9" width="12.140625" customWidth="1"/>
    <col min="10" max="10" width="12.5703125" customWidth="1"/>
    <col min="11" max="11" width="22" customWidth="1"/>
    <col min="12" max="12" width="16.140625" customWidth="1"/>
    <col min="13" max="13" width="26.85546875" customWidth="1"/>
    <col min="14" max="14" width="34.7109375" customWidth="1"/>
    <col min="15" max="15" width="33.28515625" customWidth="1"/>
  </cols>
  <sheetData>
    <row r="1" spans="1:16" s="28" customFormat="1" ht="32.25" thickBot="1" x14ac:dyDescent="0.3">
      <c r="A1" s="45" t="s">
        <v>166</v>
      </c>
      <c r="B1" s="46" t="s">
        <v>96</v>
      </c>
      <c r="C1" s="46" t="s">
        <v>97</v>
      </c>
      <c r="D1" s="47" t="s">
        <v>98</v>
      </c>
      <c r="E1" s="46" t="s">
        <v>167</v>
      </c>
      <c r="F1" s="46" t="s">
        <v>168</v>
      </c>
      <c r="G1" s="46" t="s">
        <v>169</v>
      </c>
      <c r="H1" s="46"/>
      <c r="I1" s="46" t="s">
        <v>170</v>
      </c>
      <c r="J1" s="46" t="s">
        <v>102</v>
      </c>
      <c r="K1" s="48" t="s">
        <v>105</v>
      </c>
      <c r="L1" s="48" t="s">
        <v>106</v>
      </c>
      <c r="M1" s="49" t="s">
        <v>171</v>
      </c>
    </row>
    <row r="2" spans="1:16" s="28" customFormat="1" ht="15.75" x14ac:dyDescent="0.25">
      <c r="A2" s="50">
        <v>311</v>
      </c>
      <c r="B2" s="30" t="s">
        <v>172</v>
      </c>
      <c r="C2" s="50">
        <v>4266</v>
      </c>
      <c r="D2" s="50" t="s">
        <v>173</v>
      </c>
      <c r="E2" s="51">
        <v>440</v>
      </c>
      <c r="F2" s="50">
        <f t="shared" ref="F2:F10" si="0">E2*50/1000</f>
        <v>22</v>
      </c>
      <c r="G2" s="50">
        <v>5625</v>
      </c>
      <c r="H2" s="52">
        <f t="shared" ref="H2:H10" si="1">F2*G2</f>
        <v>123750</v>
      </c>
      <c r="I2" s="52">
        <f t="shared" ref="I2:I10" si="2">(F2*G2)*28%</f>
        <v>34650</v>
      </c>
      <c r="J2" s="53">
        <f t="shared" ref="J2:J10" si="3">(F2*G2)+I2</f>
        <v>158400</v>
      </c>
      <c r="K2" s="31" t="s">
        <v>174</v>
      </c>
      <c r="L2" s="31" t="s">
        <v>175</v>
      </c>
      <c r="M2" s="31" t="s">
        <v>176</v>
      </c>
      <c r="P2" s="54"/>
    </row>
    <row r="3" spans="1:16" s="28" customFormat="1" ht="15.75" x14ac:dyDescent="0.25">
      <c r="A3" s="50">
        <v>312</v>
      </c>
      <c r="B3" s="30" t="s">
        <v>172</v>
      </c>
      <c r="C3" s="50">
        <v>4266</v>
      </c>
      <c r="D3" s="50" t="s">
        <v>173</v>
      </c>
      <c r="E3" s="51">
        <v>200</v>
      </c>
      <c r="F3" s="50">
        <f t="shared" si="0"/>
        <v>10</v>
      </c>
      <c r="G3" s="50">
        <v>5625</v>
      </c>
      <c r="H3" s="52">
        <f t="shared" si="1"/>
        <v>56250</v>
      </c>
      <c r="I3" s="52">
        <f t="shared" si="2"/>
        <v>15750.000000000002</v>
      </c>
      <c r="J3" s="57">
        <f t="shared" si="3"/>
        <v>72000</v>
      </c>
      <c r="K3" s="31" t="s">
        <v>174</v>
      </c>
      <c r="L3" s="31"/>
      <c r="M3" s="31" t="s">
        <v>177</v>
      </c>
      <c r="P3" s="54"/>
    </row>
    <row r="4" spans="1:16" s="28" customFormat="1" ht="15.75" x14ac:dyDescent="0.25">
      <c r="A4" s="50">
        <v>351</v>
      </c>
      <c r="B4" s="30" t="s">
        <v>178</v>
      </c>
      <c r="C4" s="50">
        <v>4197</v>
      </c>
      <c r="D4" s="50" t="s">
        <v>173</v>
      </c>
      <c r="E4" s="51">
        <v>150</v>
      </c>
      <c r="F4" s="50">
        <f t="shared" si="0"/>
        <v>7.5</v>
      </c>
      <c r="G4" s="50">
        <v>5625</v>
      </c>
      <c r="H4" s="52">
        <f t="shared" si="1"/>
        <v>42187.5</v>
      </c>
      <c r="I4" s="52">
        <f t="shared" si="2"/>
        <v>11812.500000000002</v>
      </c>
      <c r="J4" s="57">
        <f t="shared" si="3"/>
        <v>54000</v>
      </c>
      <c r="K4" s="31" t="s">
        <v>179</v>
      </c>
      <c r="L4" s="31"/>
      <c r="M4" s="31" t="s">
        <v>177</v>
      </c>
    </row>
    <row r="5" spans="1:16" s="28" customFormat="1" ht="15.75" x14ac:dyDescent="0.25">
      <c r="A5" s="50">
        <v>361</v>
      </c>
      <c r="B5" s="30" t="s">
        <v>180</v>
      </c>
      <c r="C5" s="50">
        <v>4220</v>
      </c>
      <c r="D5" s="50" t="s">
        <v>173</v>
      </c>
      <c r="E5" s="51">
        <v>130</v>
      </c>
      <c r="F5" s="50">
        <f t="shared" si="0"/>
        <v>6.5</v>
      </c>
      <c r="G5" s="50">
        <v>5625</v>
      </c>
      <c r="H5" s="52">
        <f t="shared" si="1"/>
        <v>36562.5</v>
      </c>
      <c r="I5" s="52">
        <f t="shared" si="2"/>
        <v>10237.500000000002</v>
      </c>
      <c r="J5" s="57">
        <f t="shared" si="3"/>
        <v>46800</v>
      </c>
      <c r="K5" s="31" t="s">
        <v>181</v>
      </c>
      <c r="L5" s="31"/>
      <c r="M5" s="31" t="s">
        <v>177</v>
      </c>
    </row>
    <row r="6" spans="1:16" s="28" customFormat="1" ht="15.75" x14ac:dyDescent="0.25">
      <c r="A6" s="50">
        <v>512</v>
      </c>
      <c r="B6" s="30" t="s">
        <v>146</v>
      </c>
      <c r="C6" s="50">
        <v>5662</v>
      </c>
      <c r="D6" s="50" t="s">
        <v>173</v>
      </c>
      <c r="E6" s="51">
        <v>200</v>
      </c>
      <c r="F6" s="50">
        <f t="shared" si="0"/>
        <v>10</v>
      </c>
      <c r="G6" s="55">
        <v>5781.25</v>
      </c>
      <c r="H6" s="56">
        <f t="shared" si="1"/>
        <v>57812.5</v>
      </c>
      <c r="I6" s="56">
        <f t="shared" si="2"/>
        <v>16187.500000000002</v>
      </c>
      <c r="J6" s="58">
        <f t="shared" si="3"/>
        <v>74000</v>
      </c>
      <c r="K6" s="31" t="s">
        <v>182</v>
      </c>
      <c r="L6" s="31"/>
      <c r="M6" s="31"/>
    </row>
    <row r="7" spans="1:16" s="28" customFormat="1" ht="15.75" x14ac:dyDescent="0.25">
      <c r="A7" s="50">
        <v>514</v>
      </c>
      <c r="B7" s="30" t="s">
        <v>146</v>
      </c>
      <c r="C7" s="50">
        <v>5664</v>
      </c>
      <c r="D7" s="50" t="s">
        <v>173</v>
      </c>
      <c r="E7" s="51">
        <v>100</v>
      </c>
      <c r="F7" s="50">
        <f t="shared" si="0"/>
        <v>5</v>
      </c>
      <c r="G7" s="55">
        <v>5781.25</v>
      </c>
      <c r="H7" s="56">
        <f t="shared" si="1"/>
        <v>28906.25</v>
      </c>
      <c r="I7" s="56">
        <f t="shared" si="2"/>
        <v>8093.7500000000009</v>
      </c>
      <c r="J7" s="58">
        <f t="shared" si="3"/>
        <v>37000</v>
      </c>
      <c r="K7" s="31" t="s">
        <v>182</v>
      </c>
      <c r="L7" s="31"/>
      <c r="M7" s="31"/>
    </row>
    <row r="8" spans="1:16" s="28" customFormat="1" ht="15.75" x14ac:dyDescent="0.25">
      <c r="A8" s="50">
        <v>541</v>
      </c>
      <c r="B8" s="30" t="s">
        <v>183</v>
      </c>
      <c r="C8" s="50">
        <v>5823</v>
      </c>
      <c r="D8" s="50" t="s">
        <v>173</v>
      </c>
      <c r="E8" s="51">
        <v>200</v>
      </c>
      <c r="F8" s="50">
        <f t="shared" si="0"/>
        <v>10</v>
      </c>
      <c r="G8" s="55">
        <v>5781.25</v>
      </c>
      <c r="H8" s="56">
        <f t="shared" si="1"/>
        <v>57812.5</v>
      </c>
      <c r="I8" s="56">
        <f t="shared" si="2"/>
        <v>16187.500000000002</v>
      </c>
      <c r="J8" s="58">
        <f t="shared" si="3"/>
        <v>74000</v>
      </c>
      <c r="K8" s="31" t="s">
        <v>182</v>
      </c>
      <c r="L8" s="31"/>
      <c r="M8" s="31"/>
    </row>
    <row r="9" spans="1:16" s="28" customFormat="1" ht="15.75" x14ac:dyDescent="0.25">
      <c r="A9" s="50">
        <v>558</v>
      </c>
      <c r="B9" s="30" t="s">
        <v>184</v>
      </c>
      <c r="C9" s="50">
        <v>5610</v>
      </c>
      <c r="D9" s="50" t="s">
        <v>173</v>
      </c>
      <c r="E9" s="51">
        <v>55</v>
      </c>
      <c r="F9" s="50">
        <f t="shared" si="0"/>
        <v>2.75</v>
      </c>
      <c r="G9" s="55">
        <v>5781.25</v>
      </c>
      <c r="H9" s="56">
        <f t="shared" si="1"/>
        <v>15898.4375</v>
      </c>
      <c r="I9" s="56">
        <f t="shared" si="2"/>
        <v>4451.5625</v>
      </c>
      <c r="J9" s="58">
        <f t="shared" si="3"/>
        <v>20350</v>
      </c>
      <c r="K9" s="31" t="s">
        <v>182</v>
      </c>
      <c r="L9" s="31"/>
      <c r="M9" s="31"/>
    </row>
    <row r="10" spans="1:16" s="28" customFormat="1" ht="15.75" x14ac:dyDescent="0.25">
      <c r="A10" s="50">
        <v>560</v>
      </c>
      <c r="B10" s="30" t="s">
        <v>185</v>
      </c>
      <c r="C10" s="50">
        <v>5612</v>
      </c>
      <c r="D10" s="50" t="s">
        <v>173</v>
      </c>
      <c r="E10" s="51">
        <v>200</v>
      </c>
      <c r="F10" s="50">
        <f t="shared" si="0"/>
        <v>10</v>
      </c>
      <c r="G10" s="55">
        <v>5859.38</v>
      </c>
      <c r="H10" s="56">
        <f t="shared" si="1"/>
        <v>58593.8</v>
      </c>
      <c r="I10" s="56">
        <f t="shared" si="2"/>
        <v>16406.264000000003</v>
      </c>
      <c r="J10" s="58">
        <f t="shared" si="3"/>
        <v>75000.064000000013</v>
      </c>
      <c r="K10" s="31" t="s">
        <v>182</v>
      </c>
      <c r="L10" s="31"/>
      <c r="M10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F1" workbookViewId="0">
      <selection activeCell="H2" sqref="H2:H18"/>
    </sheetView>
  </sheetViews>
  <sheetFormatPr defaultColWidth="9.140625" defaultRowHeight="15" x14ac:dyDescent="0.25"/>
  <cols>
    <col min="1" max="1" width="11.5703125" customWidth="1"/>
    <col min="2" max="2" width="13.85546875" customWidth="1"/>
    <col min="3" max="3" width="12.140625" bestFit="1" customWidth="1"/>
    <col min="4" max="4" width="34.5703125" customWidth="1"/>
    <col min="5" max="5" width="16.5703125" customWidth="1"/>
    <col min="6" max="6" width="21.140625" customWidth="1"/>
    <col min="7" max="7" width="18.140625" customWidth="1"/>
    <col min="8" max="8" width="18.28515625" customWidth="1"/>
    <col min="9" max="9" width="19.42578125" customWidth="1"/>
    <col min="10" max="10" width="44.42578125" customWidth="1"/>
    <col min="11" max="11" width="42.140625" customWidth="1"/>
    <col min="12" max="12" width="19.140625" customWidth="1"/>
    <col min="13" max="13" width="37.140625" customWidth="1"/>
    <col min="14" max="14" width="45.28515625" customWidth="1"/>
  </cols>
  <sheetData>
    <row r="1" spans="1:13" s="28" customFormat="1" ht="23.45" customHeight="1" thickBot="1" x14ac:dyDescent="0.3">
      <c r="A1" s="24" t="s">
        <v>95</v>
      </c>
      <c r="B1" s="25" t="s">
        <v>96</v>
      </c>
      <c r="C1" s="26" t="s">
        <v>97</v>
      </c>
      <c r="D1" s="26" t="s">
        <v>98</v>
      </c>
      <c r="E1" s="26" t="s">
        <v>99</v>
      </c>
      <c r="F1" s="26" t="s">
        <v>100</v>
      </c>
      <c r="G1" s="26" t="s">
        <v>101</v>
      </c>
      <c r="H1" s="26" t="s">
        <v>102</v>
      </c>
      <c r="I1" s="26" t="s">
        <v>103</v>
      </c>
      <c r="J1" s="26" t="s">
        <v>104</v>
      </c>
      <c r="K1" s="26" t="s">
        <v>105</v>
      </c>
      <c r="L1" s="26" t="s">
        <v>106</v>
      </c>
      <c r="M1" s="27" t="s">
        <v>107</v>
      </c>
    </row>
    <row r="2" spans="1:13" s="28" customFormat="1" ht="15.75" x14ac:dyDescent="0.25">
      <c r="A2" s="29">
        <v>26</v>
      </c>
      <c r="B2" s="30" t="s">
        <v>108</v>
      </c>
      <c r="C2" s="31">
        <v>1122</v>
      </c>
      <c r="D2" s="31" t="s">
        <v>109</v>
      </c>
      <c r="E2" s="32">
        <v>250</v>
      </c>
      <c r="F2" s="31">
        <v>2068</v>
      </c>
      <c r="G2" s="31">
        <v>89.91</v>
      </c>
      <c r="H2" s="31">
        <f t="shared" ref="H2:H13" si="0">E2*G2</f>
        <v>22477.5</v>
      </c>
      <c r="I2" s="31"/>
      <c r="J2" s="33" t="s">
        <v>110</v>
      </c>
      <c r="K2" s="31" t="s">
        <v>111</v>
      </c>
      <c r="L2" s="34" t="s">
        <v>112</v>
      </c>
      <c r="M2" s="35" t="s">
        <v>113</v>
      </c>
    </row>
    <row r="3" spans="1:13" s="28" customFormat="1" ht="15.75" x14ac:dyDescent="0.25">
      <c r="A3" s="36">
        <v>27</v>
      </c>
      <c r="B3" s="30" t="s">
        <v>108</v>
      </c>
      <c r="C3" s="31">
        <v>1123</v>
      </c>
      <c r="D3" s="31" t="s">
        <v>109</v>
      </c>
      <c r="E3" s="32">
        <v>200</v>
      </c>
      <c r="F3" s="31">
        <v>2069</v>
      </c>
      <c r="G3" s="31">
        <v>89.91</v>
      </c>
      <c r="H3" s="31">
        <f t="shared" si="0"/>
        <v>17982</v>
      </c>
      <c r="I3" s="31"/>
      <c r="J3" s="33" t="s">
        <v>110</v>
      </c>
      <c r="K3" s="31" t="s">
        <v>114</v>
      </c>
      <c r="L3" s="34" t="s">
        <v>115</v>
      </c>
      <c r="M3" s="35" t="s">
        <v>116</v>
      </c>
    </row>
    <row r="4" spans="1:13" s="28" customFormat="1" ht="15.75" x14ac:dyDescent="0.25">
      <c r="A4" s="36">
        <v>277</v>
      </c>
      <c r="B4" s="30" t="s">
        <v>117</v>
      </c>
      <c r="C4" s="31">
        <v>1295</v>
      </c>
      <c r="D4" s="31" t="s">
        <v>109</v>
      </c>
      <c r="E4" s="32">
        <v>200</v>
      </c>
      <c r="F4" s="31">
        <v>2372</v>
      </c>
      <c r="G4" s="31">
        <v>89.91</v>
      </c>
      <c r="H4" s="31">
        <f t="shared" si="0"/>
        <v>17982</v>
      </c>
      <c r="I4" s="31"/>
      <c r="J4" s="37" t="s">
        <v>110</v>
      </c>
      <c r="K4" s="31" t="s">
        <v>114</v>
      </c>
      <c r="L4" s="34" t="s">
        <v>118</v>
      </c>
      <c r="M4" s="35" t="s">
        <v>119</v>
      </c>
    </row>
    <row r="5" spans="1:13" s="28" customFormat="1" ht="15.75" x14ac:dyDescent="0.25">
      <c r="A5" s="29">
        <v>278</v>
      </c>
      <c r="B5" s="30" t="s">
        <v>117</v>
      </c>
      <c r="C5" s="31">
        <v>1296</v>
      </c>
      <c r="D5" s="31" t="s">
        <v>109</v>
      </c>
      <c r="E5" s="32">
        <v>250</v>
      </c>
      <c r="F5" s="31">
        <v>2372</v>
      </c>
      <c r="G5" s="31">
        <v>89.91</v>
      </c>
      <c r="H5" s="31">
        <f t="shared" si="0"/>
        <v>22477.5</v>
      </c>
      <c r="I5" s="31"/>
      <c r="J5" s="37" t="s">
        <v>110</v>
      </c>
      <c r="K5" s="31" t="s">
        <v>111</v>
      </c>
      <c r="L5" s="34" t="s">
        <v>112</v>
      </c>
      <c r="M5" s="35" t="s">
        <v>113</v>
      </c>
    </row>
    <row r="6" spans="1:13" s="28" customFormat="1" ht="15.75" x14ac:dyDescent="0.25">
      <c r="A6" s="36">
        <v>279</v>
      </c>
      <c r="B6" s="30" t="s">
        <v>117</v>
      </c>
      <c r="C6" s="31">
        <v>1297</v>
      </c>
      <c r="D6" s="31" t="s">
        <v>109</v>
      </c>
      <c r="E6" s="32">
        <v>440</v>
      </c>
      <c r="F6" s="31">
        <v>2372</v>
      </c>
      <c r="G6" s="31">
        <v>89.91</v>
      </c>
      <c r="H6" s="31">
        <f t="shared" si="0"/>
        <v>39560.400000000001</v>
      </c>
      <c r="I6" s="31"/>
      <c r="J6" s="33" t="s">
        <v>110</v>
      </c>
      <c r="K6" s="31" t="s">
        <v>120</v>
      </c>
      <c r="L6" s="34" t="s">
        <v>121</v>
      </c>
      <c r="M6" s="35" t="s">
        <v>122</v>
      </c>
    </row>
    <row r="7" spans="1:13" s="28" customFormat="1" ht="15.75" x14ac:dyDescent="0.25">
      <c r="A7" s="36">
        <v>381</v>
      </c>
      <c r="B7" s="30" t="s">
        <v>123</v>
      </c>
      <c r="C7" s="31">
        <v>2167</v>
      </c>
      <c r="D7" s="31" t="s">
        <v>109</v>
      </c>
      <c r="E7" s="32">
        <v>420</v>
      </c>
      <c r="F7" s="38">
        <v>1869</v>
      </c>
      <c r="G7" s="31">
        <v>89.91</v>
      </c>
      <c r="H7" s="31">
        <f t="shared" si="0"/>
        <v>37762.199999999997</v>
      </c>
      <c r="I7" s="31"/>
      <c r="J7" s="37" t="s">
        <v>110</v>
      </c>
      <c r="K7" s="31" t="s">
        <v>120</v>
      </c>
      <c r="L7" s="31" t="s">
        <v>124</v>
      </c>
      <c r="M7" s="39" t="s">
        <v>125</v>
      </c>
    </row>
    <row r="8" spans="1:13" s="28" customFormat="1" ht="15.75" x14ac:dyDescent="0.25">
      <c r="A8" s="36">
        <v>709</v>
      </c>
      <c r="B8" s="30" t="s">
        <v>126</v>
      </c>
      <c r="C8" s="31">
        <v>2025</v>
      </c>
      <c r="D8" s="31" t="s">
        <v>109</v>
      </c>
      <c r="E8" s="32">
        <v>660</v>
      </c>
      <c r="F8" s="38">
        <v>2345</v>
      </c>
      <c r="G8" s="31">
        <v>89.91</v>
      </c>
      <c r="H8" s="31">
        <f t="shared" si="0"/>
        <v>59340.6</v>
      </c>
      <c r="I8" s="31"/>
      <c r="J8" s="37" t="s">
        <v>110</v>
      </c>
      <c r="K8" s="31" t="s">
        <v>120</v>
      </c>
      <c r="L8" s="34" t="s">
        <v>121</v>
      </c>
      <c r="M8" s="35" t="s">
        <v>122</v>
      </c>
    </row>
    <row r="9" spans="1:13" s="28" customFormat="1" ht="15.75" x14ac:dyDescent="0.25">
      <c r="A9" s="36">
        <v>715</v>
      </c>
      <c r="B9" s="30" t="s">
        <v>127</v>
      </c>
      <c r="C9" s="31">
        <v>670</v>
      </c>
      <c r="D9" s="31" t="s">
        <v>109</v>
      </c>
      <c r="E9" s="32">
        <v>200</v>
      </c>
      <c r="F9" s="31">
        <v>2097</v>
      </c>
      <c r="G9" s="31">
        <v>89.91</v>
      </c>
      <c r="H9" s="31">
        <f t="shared" si="0"/>
        <v>17982</v>
      </c>
      <c r="I9" s="31"/>
      <c r="J9" s="37" t="s">
        <v>110</v>
      </c>
      <c r="K9" s="31" t="s">
        <v>111</v>
      </c>
      <c r="L9" s="34" t="s">
        <v>112</v>
      </c>
      <c r="M9" s="35" t="s">
        <v>113</v>
      </c>
    </row>
    <row r="10" spans="1:13" s="28" customFormat="1" ht="15.75" x14ac:dyDescent="0.25">
      <c r="A10" s="29">
        <v>716</v>
      </c>
      <c r="B10" s="30" t="s">
        <v>127</v>
      </c>
      <c r="C10" s="31">
        <v>671</v>
      </c>
      <c r="D10" s="31" t="s">
        <v>109</v>
      </c>
      <c r="E10" s="32">
        <v>250</v>
      </c>
      <c r="F10" s="31">
        <v>2098</v>
      </c>
      <c r="G10" s="31">
        <v>89.91</v>
      </c>
      <c r="H10" s="31">
        <f t="shared" si="0"/>
        <v>22477.5</v>
      </c>
      <c r="I10" s="31"/>
      <c r="J10" s="33" t="s">
        <v>110</v>
      </c>
      <c r="K10" s="31" t="s">
        <v>114</v>
      </c>
      <c r="L10" s="34" t="s">
        <v>115</v>
      </c>
      <c r="M10" s="35" t="s">
        <v>116</v>
      </c>
    </row>
    <row r="11" spans="1:13" s="28" customFormat="1" ht="15.75" x14ac:dyDescent="0.25">
      <c r="A11" s="36">
        <v>745</v>
      </c>
      <c r="B11" s="30" t="s">
        <v>128</v>
      </c>
      <c r="C11" s="31">
        <v>1024</v>
      </c>
      <c r="D11" s="31" t="s">
        <v>109</v>
      </c>
      <c r="E11" s="32">
        <v>200</v>
      </c>
      <c r="F11" s="31">
        <v>1027</v>
      </c>
      <c r="G11" s="31">
        <v>89.91</v>
      </c>
      <c r="H11" s="31">
        <f t="shared" si="0"/>
        <v>17982</v>
      </c>
      <c r="I11" s="31"/>
      <c r="J11" s="37" t="s">
        <v>110</v>
      </c>
      <c r="K11" s="31" t="s">
        <v>114</v>
      </c>
      <c r="L11" s="34" t="s">
        <v>115</v>
      </c>
      <c r="M11" s="35" t="s">
        <v>116</v>
      </c>
    </row>
    <row r="12" spans="1:13" s="28" customFormat="1" ht="15.75" x14ac:dyDescent="0.25">
      <c r="A12" s="29">
        <v>746</v>
      </c>
      <c r="B12" s="30" t="s">
        <v>128</v>
      </c>
      <c r="C12" s="31">
        <v>1025</v>
      </c>
      <c r="D12" s="31" t="s">
        <v>109</v>
      </c>
      <c r="E12" s="32">
        <v>200</v>
      </c>
      <c r="F12" s="31">
        <v>1028</v>
      </c>
      <c r="G12" s="31">
        <v>89.91</v>
      </c>
      <c r="H12" s="31">
        <f t="shared" si="0"/>
        <v>17982</v>
      </c>
      <c r="I12" s="31"/>
      <c r="J12" s="37" t="s">
        <v>110</v>
      </c>
      <c r="K12" s="31" t="s">
        <v>111</v>
      </c>
      <c r="L12" s="34" t="s">
        <v>112</v>
      </c>
      <c r="M12" s="35" t="s">
        <v>113</v>
      </c>
    </row>
    <row r="13" spans="1:13" s="28" customFormat="1" ht="15.75" x14ac:dyDescent="0.25">
      <c r="A13" s="36">
        <v>877</v>
      </c>
      <c r="B13" s="30" t="s">
        <v>129</v>
      </c>
      <c r="C13" s="31">
        <v>2451</v>
      </c>
      <c r="D13" s="31" t="s">
        <v>109</v>
      </c>
      <c r="E13" s="32">
        <v>440</v>
      </c>
      <c r="F13" s="31">
        <v>1800</v>
      </c>
      <c r="G13" s="31">
        <v>89.91</v>
      </c>
      <c r="H13" s="31">
        <f t="shared" si="0"/>
        <v>39560.400000000001</v>
      </c>
      <c r="I13" s="31"/>
      <c r="J13" s="37" t="s">
        <v>110</v>
      </c>
      <c r="K13" s="31" t="s">
        <v>130</v>
      </c>
      <c r="L13" s="34" t="s">
        <v>131</v>
      </c>
      <c r="M13" s="35" t="s">
        <v>132</v>
      </c>
    </row>
    <row r="14" spans="1:13" s="28" customFormat="1" ht="15.75" x14ac:dyDescent="0.25">
      <c r="A14" s="29">
        <v>1176</v>
      </c>
      <c r="B14" s="30" t="s">
        <v>133</v>
      </c>
      <c r="C14" s="31">
        <v>4058</v>
      </c>
      <c r="D14" s="31" t="s">
        <v>109</v>
      </c>
      <c r="E14" s="32">
        <v>210</v>
      </c>
      <c r="F14" s="38">
        <v>4853</v>
      </c>
      <c r="G14" s="31">
        <v>89.91</v>
      </c>
      <c r="H14" s="31">
        <v>18881.099999999999</v>
      </c>
      <c r="I14" s="31"/>
      <c r="J14" s="40" t="s">
        <v>110</v>
      </c>
      <c r="K14" s="31" t="s">
        <v>134</v>
      </c>
      <c r="L14" s="41" t="s">
        <v>124</v>
      </c>
      <c r="M14" s="39" t="s">
        <v>125</v>
      </c>
    </row>
    <row r="15" spans="1:13" s="28" customFormat="1" ht="15.75" x14ac:dyDescent="0.25">
      <c r="A15" s="36">
        <v>1177</v>
      </c>
      <c r="B15" s="30" t="s">
        <v>133</v>
      </c>
      <c r="C15" s="31">
        <v>4058</v>
      </c>
      <c r="D15" s="31" t="s">
        <v>109</v>
      </c>
      <c r="E15" s="32">
        <v>230</v>
      </c>
      <c r="F15" s="38">
        <v>4854</v>
      </c>
      <c r="G15" s="31">
        <v>89.91</v>
      </c>
      <c r="H15" s="31">
        <v>20679.3</v>
      </c>
      <c r="I15" s="31"/>
      <c r="J15" s="40" t="s">
        <v>110</v>
      </c>
      <c r="K15" s="31" t="s">
        <v>134</v>
      </c>
      <c r="L15" s="41" t="s">
        <v>124</v>
      </c>
      <c r="M15" s="39" t="s">
        <v>125</v>
      </c>
    </row>
    <row r="16" spans="1:13" s="28" customFormat="1" ht="15.75" x14ac:dyDescent="0.25">
      <c r="A16" s="29">
        <v>1522</v>
      </c>
      <c r="B16" s="30" t="s">
        <v>135</v>
      </c>
      <c r="C16" s="31">
        <v>3736</v>
      </c>
      <c r="D16" s="31" t="s">
        <v>109</v>
      </c>
      <c r="E16" s="31">
        <v>60</v>
      </c>
      <c r="F16" s="38">
        <v>2147</v>
      </c>
      <c r="G16" s="31">
        <v>89.91</v>
      </c>
      <c r="H16" s="17">
        <f t="shared" ref="H16:H30" si="1">G16*E16</f>
        <v>5394.5999999999995</v>
      </c>
      <c r="I16" s="31"/>
      <c r="J16" s="31" t="s">
        <v>136</v>
      </c>
      <c r="K16" s="31" t="s">
        <v>137</v>
      </c>
      <c r="L16" s="31" t="s">
        <v>138</v>
      </c>
      <c r="M16" s="42" t="s">
        <v>139</v>
      </c>
    </row>
    <row r="17" spans="1:14" s="28" customFormat="1" ht="15.75" x14ac:dyDescent="0.25">
      <c r="A17" s="29">
        <v>1528</v>
      </c>
      <c r="B17" s="30" t="s">
        <v>140</v>
      </c>
      <c r="C17" s="31">
        <v>3742</v>
      </c>
      <c r="D17" s="31" t="s">
        <v>109</v>
      </c>
      <c r="E17" s="31">
        <v>60</v>
      </c>
      <c r="F17" s="38">
        <v>3064</v>
      </c>
      <c r="G17" s="31">
        <v>89.91</v>
      </c>
      <c r="H17" s="17">
        <f t="shared" si="1"/>
        <v>5394.5999999999995</v>
      </c>
      <c r="I17" s="31"/>
      <c r="J17" s="31" t="s">
        <v>136</v>
      </c>
      <c r="K17" s="31" t="s">
        <v>137</v>
      </c>
      <c r="L17" s="31" t="s">
        <v>138</v>
      </c>
      <c r="M17" s="42" t="s">
        <v>139</v>
      </c>
    </row>
    <row r="18" spans="1:14" s="28" customFormat="1" ht="15.75" x14ac:dyDescent="0.25">
      <c r="A18" s="29">
        <v>1529</v>
      </c>
      <c r="B18" s="30" t="s">
        <v>141</v>
      </c>
      <c r="C18" s="31">
        <v>3743</v>
      </c>
      <c r="D18" s="31" t="s">
        <v>109</v>
      </c>
      <c r="E18" s="31">
        <v>60</v>
      </c>
      <c r="F18" s="38">
        <v>3065</v>
      </c>
      <c r="G18" s="31">
        <v>89.91</v>
      </c>
      <c r="H18" s="17">
        <f t="shared" si="1"/>
        <v>5394.5999999999995</v>
      </c>
      <c r="I18" s="31"/>
      <c r="J18" s="31" t="s">
        <v>136</v>
      </c>
      <c r="K18" s="31" t="s">
        <v>137</v>
      </c>
      <c r="L18" s="31" t="s">
        <v>138</v>
      </c>
      <c r="M18" s="42" t="s">
        <v>139</v>
      </c>
    </row>
    <row r="19" spans="1:14" s="28" customFormat="1" ht="15.75" x14ac:dyDescent="0.25">
      <c r="A19" s="29">
        <v>1536</v>
      </c>
      <c r="B19" s="30" t="s">
        <v>142</v>
      </c>
      <c r="C19" s="31">
        <v>3750</v>
      </c>
      <c r="D19" s="31" t="s">
        <v>109</v>
      </c>
      <c r="E19" s="31">
        <v>80</v>
      </c>
      <c r="F19" s="38">
        <v>3080</v>
      </c>
      <c r="G19" s="31">
        <v>89.91</v>
      </c>
      <c r="H19" s="17">
        <f t="shared" si="1"/>
        <v>7192.7999999999993</v>
      </c>
      <c r="I19" s="31"/>
      <c r="J19" s="31" t="s">
        <v>136</v>
      </c>
      <c r="K19" s="31" t="s">
        <v>137</v>
      </c>
      <c r="L19" s="43" t="s">
        <v>143</v>
      </c>
      <c r="M19" s="44" t="s">
        <v>144</v>
      </c>
      <c r="N19" s="43" t="s">
        <v>145</v>
      </c>
    </row>
    <row r="20" spans="1:14" s="28" customFormat="1" ht="15.75" x14ac:dyDescent="0.25">
      <c r="A20" s="29">
        <v>1544</v>
      </c>
      <c r="B20" s="30" t="s">
        <v>146</v>
      </c>
      <c r="C20" s="31">
        <v>3758</v>
      </c>
      <c r="D20" s="31" t="s">
        <v>109</v>
      </c>
      <c r="E20" s="31">
        <v>60</v>
      </c>
      <c r="F20" s="38">
        <v>3907</v>
      </c>
      <c r="G20" s="31">
        <v>89.91</v>
      </c>
      <c r="H20" s="17">
        <f t="shared" si="1"/>
        <v>5394.5999999999995</v>
      </c>
      <c r="I20" s="31"/>
      <c r="J20" s="31" t="s">
        <v>136</v>
      </c>
      <c r="K20" s="31" t="s">
        <v>147</v>
      </c>
      <c r="L20" s="43" t="s">
        <v>143</v>
      </c>
      <c r="M20" s="44" t="s">
        <v>144</v>
      </c>
      <c r="N20" s="43" t="s">
        <v>145</v>
      </c>
    </row>
    <row r="21" spans="1:14" s="28" customFormat="1" ht="15.75" x14ac:dyDescent="0.25">
      <c r="A21" s="29">
        <v>1546</v>
      </c>
      <c r="B21" s="30" t="s">
        <v>148</v>
      </c>
      <c r="C21" s="31">
        <v>3760</v>
      </c>
      <c r="D21" s="31" t="s">
        <v>109</v>
      </c>
      <c r="E21" s="31">
        <v>60</v>
      </c>
      <c r="F21" s="38">
        <v>3914</v>
      </c>
      <c r="G21" s="31">
        <v>89.91</v>
      </c>
      <c r="H21" s="17">
        <f t="shared" si="1"/>
        <v>5394.5999999999995</v>
      </c>
      <c r="I21" s="31"/>
      <c r="J21" s="31" t="s">
        <v>136</v>
      </c>
      <c r="K21" s="31" t="s">
        <v>147</v>
      </c>
      <c r="L21" s="43" t="s">
        <v>143</v>
      </c>
      <c r="M21" s="44" t="s">
        <v>144</v>
      </c>
      <c r="N21" s="43" t="s">
        <v>145</v>
      </c>
    </row>
    <row r="22" spans="1:14" s="28" customFormat="1" ht="15.75" x14ac:dyDescent="0.25">
      <c r="A22" s="29">
        <v>1550</v>
      </c>
      <c r="B22" s="30" t="s">
        <v>149</v>
      </c>
      <c r="C22" s="31">
        <v>3764</v>
      </c>
      <c r="D22" s="31" t="s">
        <v>109</v>
      </c>
      <c r="E22" s="31">
        <v>60</v>
      </c>
      <c r="F22" s="38">
        <v>3925</v>
      </c>
      <c r="G22" s="31">
        <v>89.91</v>
      </c>
      <c r="H22" s="17">
        <f t="shared" si="1"/>
        <v>5394.5999999999995</v>
      </c>
      <c r="I22" s="31"/>
      <c r="J22" s="31" t="s">
        <v>136</v>
      </c>
      <c r="K22" s="31" t="s">
        <v>147</v>
      </c>
      <c r="L22" s="43" t="s">
        <v>143</v>
      </c>
      <c r="M22" s="44" t="s">
        <v>144</v>
      </c>
      <c r="N22" s="43" t="s">
        <v>145</v>
      </c>
    </row>
    <row r="23" spans="1:14" s="28" customFormat="1" ht="15.75" x14ac:dyDescent="0.25">
      <c r="A23" s="29">
        <v>1555</v>
      </c>
      <c r="B23" s="30" t="s">
        <v>150</v>
      </c>
      <c r="C23" s="31">
        <v>3769</v>
      </c>
      <c r="D23" s="31" t="s">
        <v>109</v>
      </c>
      <c r="E23" s="31">
        <v>100</v>
      </c>
      <c r="F23" s="38">
        <v>3937</v>
      </c>
      <c r="G23" s="31">
        <v>89.91</v>
      </c>
      <c r="H23" s="17">
        <f t="shared" si="1"/>
        <v>8991</v>
      </c>
      <c r="I23" s="31"/>
      <c r="J23" s="31" t="s">
        <v>136</v>
      </c>
      <c r="K23" s="31" t="s">
        <v>137</v>
      </c>
      <c r="L23" s="43" t="s">
        <v>143</v>
      </c>
      <c r="M23" s="44" t="s">
        <v>144</v>
      </c>
      <c r="N23" s="43" t="s">
        <v>145</v>
      </c>
    </row>
    <row r="24" spans="1:14" s="28" customFormat="1" ht="15.75" x14ac:dyDescent="0.25">
      <c r="A24" s="29">
        <v>1559</v>
      </c>
      <c r="B24" s="30" t="s">
        <v>151</v>
      </c>
      <c r="C24" s="31">
        <v>3773</v>
      </c>
      <c r="D24" s="31" t="s">
        <v>109</v>
      </c>
      <c r="E24" s="31">
        <v>100</v>
      </c>
      <c r="F24" s="38">
        <v>3950</v>
      </c>
      <c r="G24" s="31">
        <v>89.91</v>
      </c>
      <c r="H24" s="17">
        <f t="shared" si="1"/>
        <v>8991</v>
      </c>
      <c r="I24" s="31"/>
      <c r="J24" s="31" t="s">
        <v>136</v>
      </c>
      <c r="K24" s="31" t="s">
        <v>137</v>
      </c>
      <c r="L24" s="43" t="s">
        <v>143</v>
      </c>
      <c r="M24" s="44" t="s">
        <v>144</v>
      </c>
      <c r="N24" s="43" t="s">
        <v>145</v>
      </c>
    </row>
    <row r="25" spans="1:14" s="28" customFormat="1" ht="15.75" x14ac:dyDescent="0.25">
      <c r="A25" s="29">
        <v>1563</v>
      </c>
      <c r="B25" s="30" t="s">
        <v>152</v>
      </c>
      <c r="C25" s="31">
        <v>3777</v>
      </c>
      <c r="D25" s="31" t="s">
        <v>109</v>
      </c>
      <c r="E25" s="31">
        <v>200</v>
      </c>
      <c r="F25" s="38">
        <v>3961</v>
      </c>
      <c r="G25" s="31">
        <v>89.91</v>
      </c>
      <c r="H25" s="17">
        <f t="shared" si="1"/>
        <v>17982</v>
      </c>
      <c r="I25" s="31"/>
      <c r="J25" s="31" t="s">
        <v>136</v>
      </c>
      <c r="K25" s="31" t="s">
        <v>153</v>
      </c>
      <c r="L25" s="43" t="s">
        <v>143</v>
      </c>
      <c r="M25" s="44" t="s">
        <v>144</v>
      </c>
      <c r="N25" s="43" t="s">
        <v>145</v>
      </c>
    </row>
    <row r="26" spans="1:14" s="28" customFormat="1" ht="15.75" x14ac:dyDescent="0.25">
      <c r="A26" s="29">
        <v>1567</v>
      </c>
      <c r="B26" s="30" t="s">
        <v>154</v>
      </c>
      <c r="C26" s="31">
        <v>3781</v>
      </c>
      <c r="D26" s="31" t="s">
        <v>109</v>
      </c>
      <c r="E26" s="31">
        <v>200</v>
      </c>
      <c r="F26" s="38">
        <v>3970</v>
      </c>
      <c r="G26" s="31">
        <v>89.91</v>
      </c>
      <c r="H26" s="17">
        <f t="shared" si="1"/>
        <v>17982</v>
      </c>
      <c r="I26" s="31"/>
      <c r="J26" s="31" t="s">
        <v>136</v>
      </c>
      <c r="K26" s="31" t="s">
        <v>153</v>
      </c>
      <c r="L26" s="43" t="s">
        <v>143</v>
      </c>
      <c r="M26" s="44" t="s">
        <v>144</v>
      </c>
      <c r="N26" s="43" t="s">
        <v>145</v>
      </c>
    </row>
    <row r="27" spans="1:14" s="28" customFormat="1" ht="15.75" x14ac:dyDescent="0.25">
      <c r="A27" s="29">
        <v>1574</v>
      </c>
      <c r="B27" s="30" t="s">
        <v>155</v>
      </c>
      <c r="C27" s="31">
        <v>3788</v>
      </c>
      <c r="D27" s="31" t="s">
        <v>109</v>
      </c>
      <c r="E27" s="31">
        <v>300</v>
      </c>
      <c r="F27" s="38">
        <v>3983</v>
      </c>
      <c r="G27" s="31">
        <v>89.91</v>
      </c>
      <c r="H27" s="17">
        <f t="shared" si="1"/>
        <v>26973</v>
      </c>
      <c r="I27" s="31"/>
      <c r="J27" s="31" t="s">
        <v>136</v>
      </c>
      <c r="K27" s="31" t="s">
        <v>156</v>
      </c>
      <c r="L27" s="43" t="s">
        <v>157</v>
      </c>
      <c r="M27" s="44" t="s">
        <v>158</v>
      </c>
      <c r="N27" s="43" t="s">
        <v>159</v>
      </c>
    </row>
    <row r="28" spans="1:14" s="28" customFormat="1" ht="15.75" x14ac:dyDescent="0.25">
      <c r="A28" s="29">
        <v>1577</v>
      </c>
      <c r="B28" s="30" t="s">
        <v>160</v>
      </c>
      <c r="C28" s="31">
        <v>3791</v>
      </c>
      <c r="D28" s="31" t="s">
        <v>109</v>
      </c>
      <c r="E28" s="31">
        <v>200</v>
      </c>
      <c r="F28" s="38">
        <v>3992</v>
      </c>
      <c r="G28" s="31">
        <v>89.91</v>
      </c>
      <c r="H28" s="17">
        <f t="shared" si="1"/>
        <v>17982</v>
      </c>
      <c r="I28" s="31"/>
      <c r="J28" s="31" t="s">
        <v>136</v>
      </c>
      <c r="K28" s="31" t="s">
        <v>161</v>
      </c>
      <c r="L28" s="43" t="s">
        <v>157</v>
      </c>
      <c r="M28" s="44" t="s">
        <v>158</v>
      </c>
      <c r="N28" s="43" t="s">
        <v>159</v>
      </c>
    </row>
    <row r="29" spans="1:14" s="28" customFormat="1" ht="15.75" x14ac:dyDescent="0.25">
      <c r="A29" s="29">
        <v>1583</v>
      </c>
      <c r="B29" s="30" t="s">
        <v>162</v>
      </c>
      <c r="C29" s="31">
        <v>3797</v>
      </c>
      <c r="D29" s="31" t="s">
        <v>109</v>
      </c>
      <c r="E29" s="31">
        <v>400</v>
      </c>
      <c r="F29" s="38">
        <v>4012</v>
      </c>
      <c r="G29" s="31">
        <v>89.91</v>
      </c>
      <c r="H29" s="17">
        <f t="shared" si="1"/>
        <v>35964</v>
      </c>
      <c r="I29" s="31"/>
      <c r="J29" s="31" t="s">
        <v>136</v>
      </c>
      <c r="K29" s="31" t="s">
        <v>163</v>
      </c>
      <c r="L29" s="43" t="s">
        <v>157</v>
      </c>
      <c r="M29" s="44" t="s">
        <v>158</v>
      </c>
      <c r="N29" s="43" t="s">
        <v>159</v>
      </c>
    </row>
    <row r="30" spans="1:14" s="28" customFormat="1" ht="15.75" x14ac:dyDescent="0.25">
      <c r="A30" s="29">
        <v>1598</v>
      </c>
      <c r="B30" s="30" t="s">
        <v>164</v>
      </c>
      <c r="C30" s="31">
        <v>3812</v>
      </c>
      <c r="D30" s="31" t="s">
        <v>109</v>
      </c>
      <c r="E30" s="31">
        <v>200</v>
      </c>
      <c r="F30" s="38">
        <v>4952</v>
      </c>
      <c r="G30" s="31">
        <v>89.91</v>
      </c>
      <c r="H30" s="17">
        <f t="shared" si="1"/>
        <v>17982</v>
      </c>
      <c r="I30" s="31"/>
      <c r="J30" s="31" t="s">
        <v>136</v>
      </c>
      <c r="K30" s="31" t="s">
        <v>163</v>
      </c>
      <c r="L30" s="43" t="s">
        <v>157</v>
      </c>
      <c r="M30" s="44" t="s">
        <v>158</v>
      </c>
      <c r="N30" s="43" t="s">
        <v>159</v>
      </c>
    </row>
    <row r="31" spans="1:14" s="28" customFormat="1" ht="15.75" x14ac:dyDescent="0.25">
      <c r="A31" s="29">
        <v>1619</v>
      </c>
      <c r="B31" s="30" t="s">
        <v>165</v>
      </c>
      <c r="C31" s="31">
        <v>3833</v>
      </c>
      <c r="D31" s="31" t="s">
        <v>109</v>
      </c>
      <c r="E31" s="31">
        <v>50</v>
      </c>
      <c r="F31" s="38">
        <v>5030</v>
      </c>
      <c r="G31" s="31">
        <v>89.91</v>
      </c>
      <c r="H31" s="31">
        <f t="shared" ref="H31" si="2">E31*G31</f>
        <v>4495.5</v>
      </c>
      <c r="I31" s="31"/>
      <c r="J31" s="31" t="s">
        <v>136</v>
      </c>
      <c r="K31" s="31" t="s">
        <v>163</v>
      </c>
      <c r="L31" s="43" t="s">
        <v>157</v>
      </c>
      <c r="M31" s="44" t="s">
        <v>158</v>
      </c>
      <c r="N31" s="43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TMT</vt:lpstr>
      <vt:lpstr>Cement</vt:lpstr>
      <vt:lpstr>Diesel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2024-07-10T11:44:13Z</cp:lastPrinted>
  <dcterms:created xsi:type="dcterms:W3CDTF">2022-06-10T14:11:52Z</dcterms:created>
  <dcterms:modified xsi:type="dcterms:W3CDTF">2025-03-11T10:01:49Z</dcterms:modified>
</cp:coreProperties>
</file>