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emp_Downloads\upload_excel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0" i="1" l="1"/>
  <c r="P130" i="1"/>
  <c r="O130" i="1"/>
  <c r="L120" i="1"/>
  <c r="G120" i="1"/>
  <c r="M120" i="1" s="1"/>
  <c r="F115" i="1"/>
  <c r="G115" i="1" s="1"/>
  <c r="L113" i="1"/>
  <c r="G113" i="1"/>
  <c r="M113" i="1" s="1"/>
  <c r="F108" i="1"/>
  <c r="G108" i="1" s="1"/>
  <c r="M104" i="1"/>
  <c r="K104" i="1"/>
  <c r="H104" i="1"/>
  <c r="I104" i="1" s="1"/>
  <c r="G104" i="1"/>
  <c r="L104" i="1" s="1"/>
  <c r="N102" i="1"/>
  <c r="L102" i="1"/>
  <c r="K102" i="1"/>
  <c r="I102" i="1"/>
  <c r="H102" i="1"/>
  <c r="G102" i="1"/>
  <c r="M102" i="1" s="1"/>
  <c r="G101" i="1"/>
  <c r="F101" i="1"/>
  <c r="L94" i="1"/>
  <c r="G94" i="1"/>
  <c r="M94" i="1" s="1"/>
  <c r="F94" i="1"/>
  <c r="G89" i="1"/>
  <c r="E89" i="1"/>
  <c r="N84" i="1"/>
  <c r="E86" i="1" s="1"/>
  <c r="Q86" i="1" s="1"/>
  <c r="L84" i="1"/>
  <c r="K84" i="1"/>
  <c r="I84" i="1"/>
  <c r="H84" i="1"/>
  <c r="G84" i="1"/>
  <c r="M84" i="1" s="1"/>
  <c r="G83" i="1"/>
  <c r="L81" i="1"/>
  <c r="G81" i="1"/>
  <c r="K81" i="1" s="1"/>
  <c r="F78" i="1"/>
  <c r="G78" i="1" s="1"/>
  <c r="M77" i="1"/>
  <c r="L77" i="1"/>
  <c r="K77" i="1"/>
  <c r="J77" i="1"/>
  <c r="H77" i="1"/>
  <c r="I77" i="1" s="1"/>
  <c r="G77" i="1"/>
  <c r="L69" i="1"/>
  <c r="G69" i="1"/>
  <c r="M69" i="1" s="1"/>
  <c r="N55" i="1"/>
  <c r="K55" i="1"/>
  <c r="I55" i="1"/>
  <c r="Q55" i="1" s="1"/>
  <c r="H55" i="1"/>
  <c r="G55" i="1"/>
  <c r="J55" i="1" s="1"/>
  <c r="K54" i="1"/>
  <c r="J54" i="1"/>
  <c r="H54" i="1"/>
  <c r="N54" i="1" s="1"/>
  <c r="E56" i="1" s="1"/>
  <c r="Q56" i="1" s="1"/>
  <c r="G54" i="1"/>
  <c r="I54" i="1" s="1"/>
  <c r="Q54" i="1" s="1"/>
  <c r="I53" i="1"/>
  <c r="Q53" i="1" s="1"/>
  <c r="G53" i="1"/>
  <c r="L52" i="1"/>
  <c r="G52" i="1"/>
  <c r="K52" i="1" s="1"/>
  <c r="Q51" i="1"/>
  <c r="I51" i="1"/>
  <c r="F49" i="1"/>
  <c r="G49" i="1" s="1"/>
  <c r="M45" i="1"/>
  <c r="J45" i="1"/>
  <c r="H45" i="1"/>
  <c r="N45" i="1" s="1"/>
  <c r="E46" i="1" s="1"/>
  <c r="Q46" i="1" s="1"/>
  <c r="G45" i="1"/>
  <c r="L45" i="1" s="1"/>
  <c r="G36" i="1"/>
  <c r="J34" i="1"/>
  <c r="G34" i="1"/>
  <c r="L34" i="1" s="1"/>
  <c r="U27" i="1"/>
  <c r="U24" i="1"/>
  <c r="U21" i="1"/>
  <c r="G15" i="1"/>
  <c r="E15" i="1"/>
  <c r="J12" i="1"/>
  <c r="L11" i="1"/>
  <c r="G11" i="1"/>
  <c r="M11" i="1" s="1"/>
  <c r="G10" i="1"/>
  <c r="I10" i="1" s="1"/>
  <c r="Q10" i="1" s="1"/>
  <c r="E8" i="1"/>
  <c r="G8" i="1" s="1"/>
  <c r="H8" i="1" s="1"/>
  <c r="E9" i="1" l="1"/>
  <c r="N8" i="1"/>
  <c r="J115" i="1"/>
  <c r="H115" i="1"/>
  <c r="N115" i="1" s="1"/>
  <c r="E116" i="1" s="1"/>
  <c r="Q116" i="1" s="1"/>
  <c r="M115" i="1"/>
  <c r="L115" i="1"/>
  <c r="K115" i="1"/>
  <c r="H15" i="1"/>
  <c r="N15" i="1" s="1"/>
  <c r="E16" i="1" s="1"/>
  <c r="Q16" i="1" s="1"/>
  <c r="K15" i="1"/>
  <c r="J15" i="1"/>
  <c r="I101" i="1"/>
  <c r="H36" i="1"/>
  <c r="N36" i="1" s="1"/>
  <c r="M36" i="1"/>
  <c r="L36" i="1"/>
  <c r="L130" i="1" s="1"/>
  <c r="K36" i="1"/>
  <c r="J36" i="1"/>
  <c r="Q36" i="1" s="1"/>
  <c r="J49" i="1"/>
  <c r="M49" i="1"/>
  <c r="L49" i="1"/>
  <c r="K49" i="1"/>
  <c r="J8" i="1"/>
  <c r="I8" i="1"/>
  <c r="Q8" i="1" s="1"/>
  <c r="G130" i="1"/>
  <c r="K8" i="1"/>
  <c r="H49" i="1"/>
  <c r="N49" i="1" s="1"/>
  <c r="E50" i="1" s="1"/>
  <c r="G50" i="1" s="1"/>
  <c r="I50" i="1" s="1"/>
  <c r="Q50" i="1" s="1"/>
  <c r="H78" i="1"/>
  <c r="N78" i="1" s="1"/>
  <c r="E80" i="1" s="1"/>
  <c r="Q80" i="1" s="1"/>
  <c r="M78" i="1"/>
  <c r="L78" i="1"/>
  <c r="K78" i="1"/>
  <c r="J78" i="1"/>
  <c r="Q102" i="1"/>
  <c r="J108" i="1"/>
  <c r="H108" i="1"/>
  <c r="N108" i="1" s="1"/>
  <c r="E109" i="1" s="1"/>
  <c r="Q109" i="1" s="1"/>
  <c r="M108" i="1"/>
  <c r="L108" i="1"/>
  <c r="K108" i="1"/>
  <c r="M34" i="1"/>
  <c r="M130" i="1" s="1"/>
  <c r="J83" i="1"/>
  <c r="J89" i="1"/>
  <c r="J101" i="1"/>
  <c r="N104" i="1"/>
  <c r="H11" i="1"/>
  <c r="I45" i="1"/>
  <c r="Q45" i="1" s="1"/>
  <c r="U48" i="1" s="1"/>
  <c r="M52" i="1"/>
  <c r="H69" i="1"/>
  <c r="M81" i="1"/>
  <c r="K83" i="1"/>
  <c r="J84" i="1"/>
  <c r="Q84" i="1" s="1"/>
  <c r="K89" i="1"/>
  <c r="H94" i="1"/>
  <c r="K101" i="1"/>
  <c r="J102" i="1"/>
  <c r="H113" i="1"/>
  <c r="H120" i="1"/>
  <c r="Q34" i="1"/>
  <c r="L83" i="1"/>
  <c r="L101" i="1"/>
  <c r="J11" i="1"/>
  <c r="H34" i="1"/>
  <c r="N34" i="1" s="1"/>
  <c r="E35" i="1" s="1"/>
  <c r="Q35" i="1" s="1"/>
  <c r="K45" i="1"/>
  <c r="J69" i="1"/>
  <c r="Q69" i="1" s="1"/>
  <c r="N77" i="1"/>
  <c r="E79" i="1" s="1"/>
  <c r="Q79" i="1" s="1"/>
  <c r="M83" i="1"/>
  <c r="J94" i="1"/>
  <c r="M101" i="1"/>
  <c r="J113" i="1"/>
  <c r="J120" i="1"/>
  <c r="K11" i="1"/>
  <c r="I34" i="1"/>
  <c r="H52" i="1"/>
  <c r="K69" i="1"/>
  <c r="H81" i="1"/>
  <c r="K94" i="1"/>
  <c r="J104" i="1"/>
  <c r="Q104" i="1" s="1"/>
  <c r="K113" i="1"/>
  <c r="K120" i="1"/>
  <c r="K34" i="1"/>
  <c r="J52" i="1"/>
  <c r="J81" i="1"/>
  <c r="H83" i="1"/>
  <c r="N83" i="1" s="1"/>
  <c r="E85" i="1" s="1"/>
  <c r="Q85" i="1" s="1"/>
  <c r="H89" i="1"/>
  <c r="I89" i="1" s="1"/>
  <c r="H101" i="1"/>
  <c r="N101" i="1" s="1"/>
  <c r="E103" i="1" s="1"/>
  <c r="Q103" i="1" s="1"/>
  <c r="I108" i="1" l="1"/>
  <c r="Q108" i="1" s="1"/>
  <c r="U112" i="1" s="1"/>
  <c r="J130" i="1"/>
  <c r="N113" i="1"/>
  <c r="E114" i="1" s="1"/>
  <c r="Q114" i="1" s="1"/>
  <c r="I113" i="1"/>
  <c r="Q113" i="1" s="1"/>
  <c r="U119" i="1" s="1"/>
  <c r="I15" i="1"/>
  <c r="Q15" i="1" s="1"/>
  <c r="U18" i="1" s="1"/>
  <c r="U42" i="1"/>
  <c r="I115" i="1"/>
  <c r="Q115" i="1" s="1"/>
  <c r="N52" i="1"/>
  <c r="I52" i="1"/>
  <c r="Q52" i="1" s="1"/>
  <c r="N69" i="1"/>
  <c r="E70" i="1" s="1"/>
  <c r="Q70" i="1" s="1"/>
  <c r="U76" i="1" s="1"/>
  <c r="I69" i="1"/>
  <c r="I83" i="1"/>
  <c r="Q83" i="1" s="1"/>
  <c r="U88" i="1" s="1"/>
  <c r="Q9" i="1"/>
  <c r="U11" i="1" s="1"/>
  <c r="N94" i="1"/>
  <c r="E95" i="1" s="1"/>
  <c r="Q95" i="1" s="1"/>
  <c r="I94" i="1"/>
  <c r="Q94" i="1" s="1"/>
  <c r="U100" i="1" s="1"/>
  <c r="N11" i="1"/>
  <c r="N130" i="1" s="1"/>
  <c r="I11" i="1"/>
  <c r="Q11" i="1" s="1"/>
  <c r="U14" i="1" s="1"/>
  <c r="Q77" i="1"/>
  <c r="I36" i="1"/>
  <c r="I81" i="1"/>
  <c r="Q81" i="1" s="1"/>
  <c r="N81" i="1"/>
  <c r="Q101" i="1"/>
  <c r="U107" i="1" s="1"/>
  <c r="N120" i="1"/>
  <c r="E121" i="1" s="1"/>
  <c r="Q121" i="1" s="1"/>
  <c r="I120" i="1"/>
  <c r="Q120" i="1" s="1"/>
  <c r="U122" i="1" s="1"/>
  <c r="E90" i="1"/>
  <c r="N89" i="1"/>
  <c r="Q90" i="1" s="1"/>
  <c r="I78" i="1"/>
  <c r="Q78" i="1" s="1"/>
  <c r="K130" i="1"/>
  <c r="I49" i="1"/>
  <c r="Q49" i="1" s="1"/>
  <c r="H130" i="1"/>
  <c r="U82" i="1" l="1"/>
  <c r="U64" i="1"/>
  <c r="U130" i="1" s="1"/>
  <c r="Q89" i="1"/>
  <c r="U93" i="1" s="1"/>
  <c r="Q130" i="1" l="1"/>
  <c r="S131" i="1" s="1"/>
</calcChain>
</file>

<file path=xl/sharedStrings.xml><?xml version="1.0" encoding="utf-8"?>
<sst xmlns="http://schemas.openxmlformats.org/spreadsheetml/2006/main" count="232" uniqueCount="186">
  <si>
    <t>Subcontractor:</t>
  </si>
  <si>
    <t>AP Entyerprises</t>
  </si>
  <si>
    <t>State:</t>
  </si>
  <si>
    <t>Uttar Pradesh</t>
  </si>
  <si>
    <t>District:</t>
  </si>
  <si>
    <t>Muzaffarnagar</t>
  </si>
  <si>
    <t>Block:</t>
  </si>
  <si>
    <t>Invoice Details</t>
  </si>
  <si>
    <t>Invoice Date</t>
  </si>
  <si>
    <t>Invoice No</t>
  </si>
  <si>
    <t>Basic Amt</t>
  </si>
  <si>
    <t xml:space="preserve">Debit </t>
  </si>
  <si>
    <t>After Debit Amt</t>
  </si>
  <si>
    <t>18% GST</t>
  </si>
  <si>
    <t>Amount</t>
  </si>
  <si>
    <t>TDS (1%)</t>
  </si>
  <si>
    <t>SD (5%)</t>
  </si>
  <si>
    <t>On Commissioning</t>
  </si>
  <si>
    <t>Hydro Testing</t>
  </si>
  <si>
    <t>GST SD (18%)</t>
  </si>
  <si>
    <t>Hold the Amount because the Qty. is more then the DPR</t>
  </si>
  <si>
    <t>TDS in tally</t>
  </si>
  <si>
    <t>Final Amount</t>
  </si>
  <si>
    <t>Total Amount Paid</t>
  </si>
  <si>
    <t>UTR</t>
  </si>
  <si>
    <t>Advance Village Wise</t>
  </si>
  <si>
    <t>Kasoli Village OHT work 375KL 16M staging</t>
  </si>
  <si>
    <t>14, 16</t>
  </si>
  <si>
    <t>tds-134615</t>
  </si>
  <si>
    <t>06-06-2023 NEFT/AXISP00395970528/RIUP23/536/A P ENTERPRISES 198000.00</t>
  </si>
  <si>
    <t>gst</t>
  </si>
  <si>
    <t>11-10-2023 NEFT/AXISP00433253775/RIUP23/2503/A P ENTERPRISES/IDIB000M779 65938.00</t>
  </si>
  <si>
    <t>19-07-2024 NEFT O/W-YESIG42010144963-IDIB000M779-A P ENTERPRISES -RIUP24/1201 RS 1,26,563.00</t>
  </si>
  <si>
    <t xml:space="preserve">NIYAMU VILLAGE OHT WORK AT NIYAMU VILLAGE 325 KL 12M </t>
  </si>
  <si>
    <t>06-06-2023 NEFT/AXISP00395970529/RIUP23/535/A P ENTERPRISES 198000.00</t>
  </si>
  <si>
    <t>adv deducted in  59578</t>
  </si>
  <si>
    <t>Badakali Village OHT Work 150KL 12M staging</t>
  </si>
  <si>
    <t>tds-23750</t>
  </si>
  <si>
    <t>25-05-2023 NEFT/AXISP00392601989/RIUP23/396/A P ENTERPRISES 99000.00</t>
  </si>
  <si>
    <t>adv deducted in  57724</t>
  </si>
  <si>
    <t xml:space="preserve">GST </t>
  </si>
  <si>
    <t>13-10-2023 NEFT/AXISP00434019639/RIUP23/2502/A P ENTERPRISES/IDIB000M779 17324.00</t>
  </si>
  <si>
    <t>19-07-2024 NEFT O/W-YESIG42010143589-IDIB000M779-A P ENTERPRISES-RIUP24/1200 RS 22,275.00</t>
  </si>
  <si>
    <t xml:space="preserve"> BANNAGAR VILLAGE OHT 175KL 12 MTR STAGING work  BANNAGAR VILLAGE BLOCK CHARTHAWAL </t>
  </si>
  <si>
    <t>23-05-2023 NEFT/AXISP00392088476/RIUP23/355/A P ENTERPRISES 99000.00</t>
  </si>
  <si>
    <t xml:space="preserve">BADHAI KHURD VILLAGE OHT 200KL 12 MTR STAGING work  BADHAI KHURD VILLAGE BLOCK CHARTHAWAL  </t>
  </si>
  <si>
    <t>23-05-2023 NEFT/AXISP00392088475/RIUP23/354/A P ENTERPRISES 99000.00</t>
  </si>
  <si>
    <t>27-09-2024 NEFT/AXISP00545360699/RIUP24/1985/A P ENTERPRISES/IDIB000M779 297000.00</t>
  </si>
  <si>
    <t>ROHANA KHURD VILLAGE OHT 225KL 12 MTR STAGING work ROHANA KHURD VILLAGE BLOCK CHARTHAWAL</t>
  </si>
  <si>
    <t>25-05-2023 NEFT/AXISP00392601988/RIUP23/395/A P ENTERPRISES 99000.00</t>
  </si>
  <si>
    <t>27-09-2024 NEFT/AXISP00545360698/RIUP24/1984/A P ENTERPRISES/IDIB000M779 198000.00</t>
  </si>
  <si>
    <t xml:space="preserve">Kedi Dhudha Dhari Village Pipe laying work </t>
  </si>
  <si>
    <t>06-01-2023 NEFT/AXISP00352522093/RIUP22/1797/A P ENTERPRISES 352575.00</t>
  </si>
  <si>
    <t>GST release note</t>
  </si>
  <si>
    <t>21-01-2023 NEFT/AXISP00356444712/RIUP22/1906/A P ENTERPRISES ₹ 96,252.00</t>
  </si>
  <si>
    <t>23-01-2023 NEFT/AXISP00356693749/RIUP22/1957/A P ENTERPRISES ₹ 1,98,000.00</t>
  </si>
  <si>
    <t>08-02-2023 NEFT/AXISP00361822157/RIUP22/2121/A P ENTERPRISES 157909.00</t>
  </si>
  <si>
    <t>21-02-2023 NEFT/AXISP00364594735/RIUP22/2235/A P ENTERPRISES 101844.00</t>
  </si>
  <si>
    <t>13-04-2023 13-04-2023 NEFT/AXISP00381797403/SPUP23/0121/A P ENTERPRISES 198000.00</t>
  </si>
  <si>
    <t>9, 10</t>
  </si>
  <si>
    <t>tds-56195</t>
  </si>
  <si>
    <t>02-05-2023 NEFT/AXISP00386671975/RIUP23/056/A P ENTERPRISES ₹ 42,112.00</t>
  </si>
  <si>
    <t>21-06-2023 NEFT/AXISP00399842955/RIUP23/747/A P ENTERPRISES 54709.00</t>
  </si>
  <si>
    <t>24-08-2023 NEFT/AXISP00418043570/RIUP23/1686/A P ENTERPRISES/IDIB000M779 196000.00</t>
  </si>
  <si>
    <t>07-09-2023 NEFT/AXISP00422860734/RIUP23/1856/A P ENTERPRISES/IDIB000M779 25968.00</t>
  </si>
  <si>
    <t>05-02-2024 NEFT/AXISP00468456762/RIUP23/4602/A P ENTERPRISES/IDIB000M779 49500.00</t>
  </si>
  <si>
    <t>16-02-2024 NEFT/AXISP00472106410/RIUP23/4732/A P ENTERPRISES/IDIB000M779 49500.00</t>
  </si>
  <si>
    <t>11-07-2024 NEFT/AXISP00517806262/RIUP24/1086/A P ENTERPRISES/IDIB000M779 400328.00</t>
  </si>
  <si>
    <t>29-08-2024 NEFT/AXISP00533190148/RIUP24/1562/A P ENTERPRISES/IDIB000M779 49500.00</t>
  </si>
  <si>
    <t>BHaisani Village Pipe laying work.</t>
  </si>
  <si>
    <t>06-01-2023 NEFT/AXISP00352522094/RIUP22/1791/A P ENTERPRISES 200000.00</t>
  </si>
  <si>
    <t>GST Release Note</t>
  </si>
  <si>
    <t>23-01-2023 NEFT/AXISP00356693741/RIUP22/1907/A P ENTERPRISES ₹ 80,791.00</t>
  </si>
  <si>
    <t>8, 9</t>
  </si>
  <si>
    <t>tds-87685</t>
  </si>
  <si>
    <t>06-03-2023 NEFT/AXISP00369190886/RIUP22/2484/A P ENTERPRISES 98191.00</t>
  </si>
  <si>
    <t>31-08-2023 NEFT/AXISP00419854902/RIUP23/1807/A P ENTERPRISES/IDIB000M779 ₹ 3,46,356.00</t>
  </si>
  <si>
    <t>05-02-2024 NEFT/AXISP00468456765/RIUP23/4599/A P ENTERPRISES/IDIB000M779 74250.00</t>
  </si>
  <si>
    <t>Panchenda Kallan Village Pipe laying work.</t>
  </si>
  <si>
    <t>20-10-2022 NEFT/AXISP00330252341/RIUP22/1062/A P ENTERPRISES 495000.00</t>
  </si>
  <si>
    <t>22-11-2022 NEFT/AXISP00339521128/RIUP22/1311/A P ENTERPRISES 534908.00</t>
  </si>
  <si>
    <t>Hold amount release note</t>
  </si>
  <si>
    <t>03-12-2022 NEFT/AXISP00343125334/RIUP22/1399/A P ENTERPRISES 450000.00</t>
  </si>
  <si>
    <t>Pancheda Kallan Village Pipe laying work.</t>
  </si>
  <si>
    <t>21-12-2022 NEFT/AXISP00347813404/RIUP22/1593/A P ENTERPRISES 352396.00</t>
  </si>
  <si>
    <t>18-01-2023 NEFT/AXISP00355710810/RIUP22/1897/A P ENTERPRISES ₹ 1,98,000.00</t>
  </si>
  <si>
    <t>Pachenda Kalan village   Pipe Laying Work</t>
  </si>
  <si>
    <t>7,8</t>
  </si>
  <si>
    <t>tds-64680</t>
  </si>
  <si>
    <t>23-02-2023 NEFT/AXISP00365243860/RIUP22/2284/A P ENTERPRISES 495000.00</t>
  </si>
  <si>
    <t>12,13</t>
  </si>
  <si>
    <t>tds-223680</t>
  </si>
  <si>
    <t>13-04-2023 NEFT/AXISP00381797401/SPUP23/0119/A P ENTERPRISES 49500.00</t>
  </si>
  <si>
    <t>7&amp;8  12&amp;13</t>
  </si>
  <si>
    <t>10-05-2023 10-05-2023 NEFT/AXISP00389200590/SPUP23/0300/A P ENTERPRISES 19413.00</t>
  </si>
  <si>
    <t>12-05-2023 NEFT/AXISP00389894115/RIUP23/202/A P ENTERPRISES 185330.00</t>
  </si>
  <si>
    <t>15-06-2023 NEFT/AXISP00398797334/RIUP23/681/A P ENTERPRISES 198000.00</t>
  </si>
  <si>
    <t>28-08-2023 NEFT/AXISP00418849234/RIUP23/1635/A P ENTERPRISES/IDIB000M779 250212.00</t>
  </si>
  <si>
    <t>31-08-2023 NEFT/AXISP00419716234/RIUP23/1806/A P ENTERPRISES/IDIB000M779 942220.00</t>
  </si>
  <si>
    <t>05-02-2024 NEFT/AXISP00468456763/RIUP23/4601/A P ENTERPRISES/IDIB000M779 24750.00</t>
  </si>
  <si>
    <t>19-07-2024 NEFT O/W-YESIG42010143588-IDIB000M779-A P ENTERPRISES -RIUP24/1203 RS 2,95,524.00</t>
  </si>
  <si>
    <t>29-08-2024 NEFT/AXISP00533190154/RIUP24/1563/A P ENTERPRISES/IDIB000M779 99000.00</t>
  </si>
  <si>
    <t xml:space="preserve">Pachenda Khurd Village Block - Sadar Pipe laying work </t>
  </si>
  <si>
    <t>08-11-2022 NEFT/AXISP00335609453/RIUP22/1208/A P ENTERPRISES 148500.00</t>
  </si>
  <si>
    <t>07-01-2023 NEFT/AXISP00353064335/RIUP22/1742/A P ENTERPRISES 180446.00</t>
  </si>
  <si>
    <t xml:space="preserve">Pachenda Khurd Village Pipe laying work </t>
  </si>
  <si>
    <t>18-01-2023 NEFT/AXISP00355697030/RIUP22/1883/A P ENTERPRISES ₹ 1,32,594.00</t>
  </si>
  <si>
    <t>23-01-2023 NEFT/AXISP00356620188/RIUP22/1937/A P ENTERPRISES ₹ 1,98,000.00</t>
  </si>
  <si>
    <t>10, 11</t>
  </si>
  <si>
    <t>tds-89326</t>
  </si>
  <si>
    <t>14-03-2023 NEFT/AXISP00371304701/RIUP22/2570/A P ENTERPRISES 99000.00</t>
  </si>
  <si>
    <t>13-04-2023 13-04-2023 NEFT/AXISP00381797402/SPUP23/0120/A P ENTERPRISES 148500.00</t>
  </si>
  <si>
    <t>21-06-2023 NEFT/AXISP00399842954/RIUP23/748/A P ENTERPRISES 83036.00</t>
  </si>
  <si>
    <t>TDS-49500</t>
  </si>
  <si>
    <t>28-07-2023 NEFT/AXISP00410084836/RIUP23/1264/A P ENTERPRISES 198000.00</t>
  </si>
  <si>
    <t>28-08-2023 NEFT/AXISP00418870939/RIUP23/1757/A P ENTERPRISES/IDIB000M779 297000.00</t>
  </si>
  <si>
    <t>05-02-2024 NEFT/AXISP00468456764/RIUP23/4600/A P ENTERPRISES/IDIB000M779 99000.00</t>
  </si>
  <si>
    <t>23-08-2024 NEFT/AXISP00531577842/SKUP24/160/A P ENTERPRISES/IDIB000M779 297000.00</t>
  </si>
  <si>
    <t>Bhoop Khedi Village pipe laying work</t>
  </si>
  <si>
    <t>02-05-2023 NEFT/AXISP00386712950/SPUP23/0355/A P ENTERPRISES ₹ 1,98,000.00</t>
  </si>
  <si>
    <t>11, 12</t>
  </si>
  <si>
    <t>tds-12229</t>
  </si>
  <si>
    <t>15-06-2023 NEFT/AXISP00398738898/RIUP23/643/A P ENTERPRISES 447994.00</t>
  </si>
  <si>
    <t>31-08-2023 NEFT/AXISP00419854901/RIUP23/1808/A P ENTERPRISES/IDIB000M779 ₹ 48,305.00</t>
  </si>
  <si>
    <t>01-02-2024 NEFT/AXISP00467277204/RIUP23/4400/A P ENTERPRISES/IDIB000M779 178192.00</t>
  </si>
  <si>
    <t>29-08-2024 NEFT/AXISP00533190151/RIUP24/1559/A P ENTERPRISES/IDIB000M779 49500.00</t>
  </si>
  <si>
    <t>Morkooka  Village pipe laying work</t>
  </si>
  <si>
    <t>13, 14</t>
  </si>
  <si>
    <t>tds-134199</t>
  </si>
  <si>
    <t>06-09-2023 NEFT/AXISP00422274697/RIUP23/1858/A P ENTERPRISES/IDIB000M779 530086.00</t>
  </si>
  <si>
    <t>Billbooked - but bill no same 57724</t>
  </si>
  <si>
    <t>05-02-2024 NEFT/AXISP00468190239/RIUP23/4584/A P ENTERPRISES/IDIB000M779 148500.00</t>
  </si>
  <si>
    <t>GST</t>
  </si>
  <si>
    <t>05-02-2024 NEFT/AXISP00468456761/RIUP23/4598/A P ENTERPRISES/IDIB000M779 247500.00</t>
  </si>
  <si>
    <t>16-02-2024 NEFT/AXISP00472106411/RIUP23/4733/A P ENTERPRISES/IDIB000M779 99000.00</t>
  </si>
  <si>
    <t>24-06-2024 NEFT/AXISP00511368166/RIUP24/0947/A P ENTERPRISES/IDIB000M779 82969.00</t>
  </si>
  <si>
    <t>Sikandarpur village  OHT work 200KL 14M staging</t>
  </si>
  <si>
    <t>13,15</t>
  </si>
  <si>
    <t>tds-86500</t>
  </si>
  <si>
    <t>11-10-2023 NEFT/AXISP00433203146/RIUP23/2583/A P ENTERPRISES/IDIB000M779 217950.00</t>
  </si>
  <si>
    <t>Billbooked - but bill no same 59119</t>
  </si>
  <si>
    <t>20-07-2024 NEFT/AXISP00520155444/RIUP24/1210/A P ENTERPRISES/IDIB000M779 49500.00</t>
  </si>
  <si>
    <t>29-08-2024 NEFT/AXISP00533190152/RIUP24/1558/A P ENTERPRISES/IDIB000M779 247500.00</t>
  </si>
  <si>
    <t xml:space="preserve">Seemli Village Pipe laying work </t>
  </si>
  <si>
    <t>15, 16, 18</t>
  </si>
  <si>
    <t>tds-192419</t>
  </si>
  <si>
    <t>17-10-2023 NEFT/AXISP00435127245/RIUP23/2656/A P ENTERPRISES/IDIB000M779 581792.00</t>
  </si>
  <si>
    <t>02-05-2024 NEFT/AXISP00496215186/RIUP24/0359/A P ENTERPRISES/IDIB000M779 99000.00</t>
  </si>
  <si>
    <t>30-04-2024 NEFT/AXISP00495097365/RIUP24/0357/A P ENTERPRISES/IDIB000M779 297000.00</t>
  </si>
  <si>
    <t xml:space="preserve">26-06-2024 NEFT/AXISP00511923118/RIUP24/0946/A P ENTERPRISES/IDIB000M779 173177.00
</t>
  </si>
  <si>
    <t>18-09-2024 NEFT/AXISP00541733393/RIUP24/1838/A P ENTERPRISES/IDIB000M779 99000.00</t>
  </si>
  <si>
    <t xml:space="preserve">Rohana Khurd Village Pipe laying work </t>
  </si>
  <si>
    <t>15, 17,19</t>
  </si>
  <si>
    <t>tds-166958</t>
  </si>
  <si>
    <t>02-11-2023 NEFT/AXISP00439799501/RIUP23/2902/A P ENTERPRISES/IDIB000M779 601341.00</t>
  </si>
  <si>
    <t>19, 21</t>
  </si>
  <si>
    <t>04-01-2024 NEFT/AXISP00459277739/RIUP23/4105/A P ENTERPRISES/IDIB000M779 148500.00</t>
  </si>
  <si>
    <t>22-03-2024 NEFT/AXISP00483444832/RIUP23/5207/A P ENTERPRISES/IDIB000M779 165371.00</t>
  </si>
  <si>
    <t>13.05-2024</t>
  </si>
  <si>
    <t>6, 3</t>
  </si>
  <si>
    <t>02-05-2024 NEFT/AXISP00496215185/RIUP24/0360/A P ENTERPRISES/IDIB000M779 148500.00</t>
  </si>
  <si>
    <t>20-07-2024 NEFT/AXISP00520155441/RIUP24/1211/A P ENTERPRISES/IDIB000M779 99000.00</t>
  </si>
  <si>
    <t>29-08-2024 NEFT/AXISP00533190150/RIUP24/1560/A P ENTERPRISES/IDIB000M779 99000.00</t>
  </si>
  <si>
    <t>MUSTAFABAD VILLAGE BALANCE PIPE LAYING WORK AT MUSTAFABAD VILLAGE  Block _ Sadar</t>
  </si>
  <si>
    <t>20,22</t>
  </si>
  <si>
    <t>04-01-2024 NEFT/AXISP00459277738/RIUP23/4106/A P ENTERPRISES/IDIB000M779 346500.00</t>
  </si>
  <si>
    <t>20, 22</t>
  </si>
  <si>
    <t>12-01-2024 NEFT/AXISP00462196165/RIUP23/4237/A P ENTERPRISES/IDIB000M779 367541.00</t>
  </si>
  <si>
    <t>22-03-2024 NEFT/AXISP00483612633/RIUP23/5227/A P ENTERPRISES/IDIB000M779 173686.00</t>
  </si>
  <si>
    <t xml:space="preserve">Kutubpur Village Block - Purkazi CONSTRUCTION OF PIPELINE  WORK - VILLAGE </t>
  </si>
  <si>
    <t>18, 20</t>
  </si>
  <si>
    <t>04-01-2024 NEFT/AXISP00459277737/RIUP23/4107/A P ENTERPRISES/IDIB000M779 247500.00</t>
  </si>
  <si>
    <t>12-01-2024 NEFT/AXISP00462196164/RIUP23/4235/A P ENTERPRISES/IDIB000M779 287171.00</t>
  </si>
  <si>
    <t xml:space="preserve">Kutubpur Village CONSTRUCTION OF PIPELINE  WORK - VILLAGE </t>
  </si>
  <si>
    <t>31-03-2024 NEFT/AXISP00486642367/RIUP23/5110/A P ENTERPRISES/IDIB000M779 234650.00</t>
  </si>
  <si>
    <t>31-03-2024 NEFT/AXISP00486642366/RIUP23/5226/A P ENTERPRISES/IDIB000M779 133812.00</t>
  </si>
  <si>
    <t>cash given as per Tally ledger</t>
  </si>
  <si>
    <t>29-08-2024 NEFT/AXISP00533190149/RIUP24/1561/A P ENTERPRISES/IDIB000M779 99000.00</t>
  </si>
  <si>
    <t>NIYAMU VILLAGE BALANCE PIPE LAYING WORK AT - NIYAMU VILLAGE</t>
  </si>
  <si>
    <t>21,23</t>
  </si>
  <si>
    <t>04-01-2024 NEFT/AXISP00459277736/RIUP23/4108/A PENTERPRISES/IDIB000M779 297000.00</t>
  </si>
  <si>
    <t>15-03-2024 NEFT/AXISP00481321981/RIUP23/4939/A P ENTERPRISES/IDIB000M779 200000.00</t>
  </si>
  <si>
    <t>06-04-2024 NEFT/AXISP00489186679/RIUP23/5244/A P ENTERPRISES/IDIB000M779 144398.00</t>
  </si>
  <si>
    <t>29-08-2024 NEFT/AXISP00533190153/RIUP24/1557/A P ENTERPRISES/IDIB000M779 49500.00</t>
  </si>
  <si>
    <t>Total Paid</t>
  </si>
  <si>
    <t>Balance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</si>
</sst>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sz val="9"/>
      <color rgb="FFFF0000"/>
      <name val="Comic Sans MS"/>
      <family val="4"/>
    </font>
    <font>
      <sz val="9"/>
      <color rgb="FF33333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/>
    <xf numFmtId="0" fontId="0" fillId="0" borderId="0" xfId="0" applyFont="1"/>
    <xf numFmtId="14" fontId="4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4" fillId="2" borderId="0" xfId="1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14" fontId="3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43" fontId="7" fillId="2" borderId="2" xfId="1" applyNumberFormat="1" applyFont="1" applyFill="1" applyBorder="1" applyAlignment="1">
      <alignment horizontal="center" vertical="center"/>
    </xf>
    <xf numFmtId="43" fontId="6" fillId="2" borderId="2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/>
    </xf>
    <xf numFmtId="43" fontId="4" fillId="2" borderId="3" xfId="1" applyNumberFormat="1" applyFont="1" applyFill="1" applyBorder="1" applyAlignment="1">
      <alignment vertical="center" wrapText="1"/>
    </xf>
    <xf numFmtId="14" fontId="4" fillId="2" borderId="3" xfId="1" applyNumberFormat="1" applyFont="1" applyFill="1" applyBorder="1" applyAlignment="1">
      <alignment vertical="center"/>
    </xf>
    <xf numFmtId="0" fontId="4" fillId="2" borderId="3" xfId="1" applyNumberFormat="1" applyFont="1" applyFill="1" applyBorder="1" applyAlignment="1">
      <alignment horizontal="center" vertical="center"/>
    </xf>
    <xf numFmtId="43" fontId="4" fillId="2" borderId="3" xfId="1" applyNumberFormat="1" applyFont="1" applyFill="1" applyBorder="1" applyAlignment="1">
      <alignment vertical="center"/>
    </xf>
    <xf numFmtId="9" fontId="4" fillId="2" borderId="3" xfId="1" applyNumberFormat="1" applyFont="1" applyFill="1" applyBorder="1" applyAlignment="1">
      <alignment vertical="center"/>
    </xf>
    <xf numFmtId="9" fontId="4" fillId="2" borderId="3" xfId="1" applyNumberFormat="1" applyFont="1" applyFill="1" applyBorder="1" applyAlignment="1">
      <alignment vertical="center" wrapText="1"/>
    </xf>
    <xf numFmtId="0" fontId="0" fillId="2" borderId="3" xfId="0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43" fontId="4" fillId="3" borderId="3" xfId="1" applyNumberFormat="1" applyFont="1" applyFill="1" applyBorder="1" applyAlignment="1">
      <alignment vertical="center" wrapText="1"/>
    </xf>
    <xf numFmtId="14" fontId="4" fillId="3" borderId="3" xfId="1" applyNumberFormat="1" applyFont="1" applyFill="1" applyBorder="1" applyAlignment="1">
      <alignment vertical="center"/>
    </xf>
    <xf numFmtId="0" fontId="4" fillId="3" borderId="3" xfId="1" applyNumberFormat="1" applyFont="1" applyFill="1" applyBorder="1" applyAlignment="1">
      <alignment horizontal="center" vertical="center"/>
    </xf>
    <xf numFmtId="43" fontId="4" fillId="3" borderId="3" xfId="1" applyNumberFormat="1" applyFont="1" applyFill="1" applyBorder="1" applyAlignment="1">
      <alignment vertical="center"/>
    </xf>
    <xf numFmtId="9" fontId="4" fillId="3" borderId="3" xfId="1" applyNumberFormat="1" applyFont="1" applyFill="1" applyBorder="1" applyAlignment="1">
      <alignment vertical="center"/>
    </xf>
    <xf numFmtId="9" fontId="4" fillId="3" borderId="3" xfId="1" applyNumberFormat="1" applyFont="1" applyFill="1" applyBorder="1" applyAlignment="1">
      <alignment vertical="center" wrapText="1"/>
    </xf>
    <xf numFmtId="0" fontId="0" fillId="3" borderId="3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15" fontId="4" fillId="2" borderId="3" xfId="0" applyNumberFormat="1" applyFont="1" applyFill="1" applyBorder="1" applyAlignment="1">
      <alignment horizontal="center" vertical="center"/>
    </xf>
    <xf numFmtId="0" fontId="4" fillId="2" borderId="3" xfId="0" quotePrefix="1" applyFont="1" applyFill="1" applyBorder="1" applyAlignment="1">
      <alignment horizontal="center" vertical="center"/>
    </xf>
    <xf numFmtId="43" fontId="8" fillId="4" borderId="3" xfId="1" applyNumberFormat="1" applyFont="1" applyFill="1" applyBorder="1" applyAlignment="1">
      <alignment vertical="center"/>
    </xf>
    <xf numFmtId="43" fontId="4" fillId="5" borderId="3" xfId="1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14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3" fontId="0" fillId="2" borderId="3" xfId="0" applyNumberFormat="1" applyFill="1" applyBorder="1" applyAlignment="1">
      <alignment vertical="center"/>
    </xf>
    <xf numFmtId="43" fontId="8" fillId="2" borderId="3" xfId="1" applyNumberFormat="1" applyFont="1" applyFill="1" applyBorder="1" applyAlignment="1">
      <alignment vertical="center"/>
    </xf>
    <xf numFmtId="0" fontId="9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43" fontId="0" fillId="2" borderId="3" xfId="1" applyNumberFormat="1" applyFont="1" applyFill="1" applyBorder="1" applyAlignment="1">
      <alignment vertical="center"/>
    </xf>
    <xf numFmtId="165" fontId="4" fillId="2" borderId="3" xfId="1" applyNumberFormat="1" applyFont="1" applyFill="1" applyBorder="1" applyAlignment="1">
      <alignment vertical="center"/>
    </xf>
    <xf numFmtId="14" fontId="9" fillId="0" borderId="0" xfId="0" applyNumberFormat="1" applyFont="1"/>
    <xf numFmtId="0" fontId="9" fillId="0" borderId="0" xfId="0" applyFont="1"/>
    <xf numFmtId="43" fontId="6" fillId="2" borderId="3" xfId="1" applyNumberFormat="1" applyFont="1" applyFill="1" applyBorder="1" applyAlignment="1">
      <alignment vertical="center"/>
    </xf>
    <xf numFmtId="43" fontId="8" fillId="0" borderId="3" xfId="1" applyNumberFormat="1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15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3" fontId="2" fillId="4" borderId="3" xfId="1" applyNumberFormat="1" applyFont="1" applyFill="1" applyBorder="1" applyAlignment="1">
      <alignment vertical="center"/>
    </xf>
    <xf numFmtId="43" fontId="0" fillId="5" borderId="3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43" fontId="4" fillId="0" borderId="3" xfId="1" applyNumberFormat="1" applyFont="1" applyFill="1" applyBorder="1" applyAlignment="1">
      <alignment vertical="center" wrapText="1"/>
    </xf>
    <xf numFmtId="14" fontId="4" fillId="0" borderId="3" xfId="1" applyNumberFormat="1" applyFont="1" applyFill="1" applyBorder="1" applyAlignment="1">
      <alignment vertical="center"/>
    </xf>
    <xf numFmtId="43" fontId="4" fillId="0" borderId="3" xfId="1" applyNumberFormat="1" applyFont="1" applyFill="1" applyBorder="1" applyAlignment="1">
      <alignment vertical="center"/>
    </xf>
    <xf numFmtId="43" fontId="6" fillId="0" borderId="3" xfId="1" applyNumberFormat="1" applyFont="1" applyFill="1" applyBorder="1" applyAlignment="1">
      <alignment vertical="center"/>
    </xf>
    <xf numFmtId="0" fontId="4" fillId="0" borderId="3" xfId="1" applyNumberFormat="1" applyFont="1" applyFill="1" applyBorder="1" applyAlignment="1">
      <alignment horizontal="center" vertical="center"/>
    </xf>
    <xf numFmtId="0" fontId="9" fillId="0" borderId="3" xfId="0" applyFont="1" applyBorder="1"/>
    <xf numFmtId="43" fontId="0" fillId="0" borderId="3" xfId="0" applyNumberFormat="1" applyBorder="1" applyAlignment="1">
      <alignment vertical="center"/>
    </xf>
    <xf numFmtId="43" fontId="6" fillId="0" borderId="4" xfId="1" applyNumberFormat="1" applyFont="1" applyFill="1" applyBorder="1" applyAlignment="1">
      <alignment vertical="center"/>
    </xf>
    <xf numFmtId="43" fontId="4" fillId="0" borderId="4" xfId="1" applyNumberFormat="1" applyFont="1" applyFill="1" applyBorder="1" applyAlignment="1">
      <alignment vertical="center" wrapText="1"/>
    </xf>
    <xf numFmtId="14" fontId="4" fillId="0" borderId="4" xfId="1" applyNumberFormat="1" applyFont="1" applyFill="1" applyBorder="1" applyAlignment="1">
      <alignment vertical="center"/>
    </xf>
    <xf numFmtId="0" fontId="4" fillId="0" borderId="4" xfId="1" applyNumberFormat="1" applyFont="1" applyFill="1" applyBorder="1" applyAlignment="1">
      <alignment horizontal="center" vertical="center"/>
    </xf>
    <xf numFmtId="43" fontId="4" fillId="0" borderId="4" xfId="1" applyNumberFormat="1" applyFont="1" applyFill="1" applyBorder="1" applyAlignment="1">
      <alignment vertical="center"/>
    </xf>
    <xf numFmtId="0" fontId="0" fillId="0" borderId="4" xfId="0" applyBorder="1" applyAlignment="1">
      <alignment vertical="center"/>
    </xf>
    <xf numFmtId="43" fontId="0" fillId="0" borderId="4" xfId="0" applyNumberFormat="1" applyBorder="1" applyAlignment="1">
      <alignment vertical="center"/>
    </xf>
    <xf numFmtId="43" fontId="6" fillId="2" borderId="2" xfId="1" applyNumberFormat="1" applyFont="1" applyFill="1" applyBorder="1" applyAlignment="1">
      <alignment vertical="center"/>
    </xf>
    <xf numFmtId="43" fontId="4" fillId="2" borderId="2" xfId="1" applyNumberFormat="1" applyFont="1" applyFill="1" applyBorder="1" applyAlignment="1">
      <alignment vertical="center" wrapText="1"/>
    </xf>
    <xf numFmtId="14" fontId="4" fillId="2" borderId="2" xfId="1" applyNumberFormat="1" applyFont="1" applyFill="1" applyBorder="1" applyAlignment="1">
      <alignment vertical="center"/>
    </xf>
    <xf numFmtId="0" fontId="4" fillId="2" borderId="2" xfId="1" applyNumberFormat="1" applyFont="1" applyFill="1" applyBorder="1" applyAlignment="1">
      <alignment horizontal="center" vertical="center"/>
    </xf>
    <xf numFmtId="43" fontId="4" fillId="2" borderId="2" xfId="1" applyNumberFormat="1" applyFont="1" applyFill="1" applyBorder="1" applyAlignment="1">
      <alignment vertical="center"/>
    </xf>
    <xf numFmtId="43" fontId="6" fillId="2" borderId="4" xfId="1" applyNumberFormat="1" applyFont="1" applyFill="1" applyBorder="1" applyAlignment="1">
      <alignment vertical="center"/>
    </xf>
    <xf numFmtId="43" fontId="4" fillId="2" borderId="4" xfId="1" applyNumberFormat="1" applyFont="1" applyFill="1" applyBorder="1" applyAlignment="1">
      <alignment vertical="center" wrapText="1"/>
    </xf>
    <xf numFmtId="14" fontId="4" fillId="2" borderId="4" xfId="1" applyNumberFormat="1" applyFont="1" applyFill="1" applyBorder="1" applyAlignment="1">
      <alignment vertical="center"/>
    </xf>
    <xf numFmtId="0" fontId="4" fillId="2" borderId="4" xfId="1" applyNumberFormat="1" applyFont="1" applyFill="1" applyBorder="1" applyAlignment="1">
      <alignment horizontal="center" vertical="center"/>
    </xf>
    <xf numFmtId="43" fontId="4" fillId="2" borderId="4" xfId="1" applyNumberFormat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31"/>
  <sheetViews>
    <sheetView tabSelected="1" topLeftCell="A25" zoomScale="85" zoomScaleNormal="85" workbookViewId="0">
      <selection activeCell="B108" sqref="B108"/>
    </sheetView>
  </sheetViews>
  <sheetFormatPr defaultRowHeight="15" x14ac:dyDescent="0.25"/>
  <cols>
    <col min="1" max="1" width="9.28515625" bestFit="1" customWidth="1"/>
    <col min="2" max="2" width="88.42578125" customWidth="1"/>
    <col min="3" max="9" width="9.140625" customWidth="1"/>
    <col min="10" max="10" width="9.28515625" bestFit="1" customWidth="1"/>
    <col min="11" max="11" width="9.140625" customWidth="1"/>
    <col min="12" max="12" width="10.28515625" bestFit="1" customWidth="1"/>
    <col min="13" max="17" width="9.140625" customWidth="1"/>
    <col min="18" max="18" width="9.28515625" bestFit="1" customWidth="1"/>
    <col min="19" max="19" width="10.28515625" customWidth="1"/>
    <col min="20" max="21" width="9.140625" customWidth="1"/>
  </cols>
  <sheetData>
    <row r="1" spans="1:78" s="8" customFormat="1" ht="14.25" customHeight="1" thickBot="1" x14ac:dyDescent="0.3">
      <c r="A1" s="1" t="s">
        <v>0</v>
      </c>
      <c r="B1" s="85" t="s">
        <v>1</v>
      </c>
      <c r="C1" s="3"/>
      <c r="D1" s="4"/>
      <c r="E1" s="5"/>
      <c r="F1" s="6"/>
      <c r="G1" s="6"/>
      <c r="H1" s="7"/>
      <c r="I1" s="7"/>
      <c r="J1" s="6"/>
      <c r="K1" s="6"/>
      <c r="L1" s="6"/>
      <c r="M1" s="6"/>
      <c r="O1" s="9"/>
      <c r="P1" s="9"/>
      <c r="R1" s="10"/>
      <c r="S1" s="11"/>
      <c r="T1" s="11"/>
    </row>
    <row r="2" spans="1:78" s="8" customFormat="1" ht="15.75" thickBot="1" x14ac:dyDescent="0.3">
      <c r="A2" s="1" t="s">
        <v>2</v>
      </c>
      <c r="B2" s="2" t="s">
        <v>3</v>
      </c>
      <c r="C2" s="3"/>
      <c r="D2" s="4"/>
      <c r="E2" s="5"/>
      <c r="F2" s="6"/>
      <c r="G2" s="6"/>
      <c r="H2" s="7"/>
      <c r="I2" s="7"/>
      <c r="J2" s="6"/>
      <c r="K2" s="6"/>
      <c r="L2" s="6"/>
      <c r="M2" s="6"/>
      <c r="O2" s="9"/>
      <c r="P2" s="9"/>
      <c r="R2" s="10"/>
      <c r="S2" s="11"/>
      <c r="T2" s="11"/>
    </row>
    <row r="3" spans="1:78" s="8" customFormat="1" ht="15.75" thickBot="1" x14ac:dyDescent="0.3">
      <c r="A3" s="1" t="s">
        <v>4</v>
      </c>
      <c r="B3" s="2" t="s">
        <v>5</v>
      </c>
      <c r="C3" s="3"/>
      <c r="D3" s="4"/>
      <c r="E3" s="5"/>
      <c r="F3" s="6"/>
      <c r="G3" s="6"/>
      <c r="H3" s="7"/>
      <c r="I3" s="7"/>
      <c r="J3" s="6"/>
      <c r="K3" s="6"/>
      <c r="L3" s="6"/>
      <c r="M3" s="6"/>
      <c r="O3" s="9"/>
      <c r="P3" s="9"/>
      <c r="R3" s="10"/>
      <c r="S3" s="11"/>
      <c r="T3" s="11"/>
    </row>
    <row r="4" spans="1:78" s="8" customFormat="1" ht="15.75" thickBot="1" x14ac:dyDescent="0.3">
      <c r="A4" s="1" t="s">
        <v>6</v>
      </c>
      <c r="B4" s="2" t="s">
        <v>5</v>
      </c>
      <c r="C4" s="3"/>
      <c r="D4" s="4"/>
      <c r="E4" s="5"/>
      <c r="F4" s="6"/>
      <c r="G4" s="6"/>
      <c r="H4" s="7"/>
      <c r="I4" s="7"/>
      <c r="J4" s="6"/>
      <c r="K4" s="6"/>
      <c r="L4" s="6"/>
      <c r="M4" s="6"/>
      <c r="O4" s="9"/>
      <c r="P4" s="9"/>
      <c r="R4" s="10"/>
      <c r="S4" s="11"/>
      <c r="T4" s="11"/>
    </row>
    <row r="5" spans="1:78" s="8" customFormat="1" ht="94.5" x14ac:dyDescent="0.25">
      <c r="A5" s="12"/>
      <c r="B5" s="13" t="s">
        <v>7</v>
      </c>
      <c r="C5" s="14" t="s">
        <v>8</v>
      </c>
      <c r="D5" s="15" t="s">
        <v>9</v>
      </c>
      <c r="E5" s="15" t="s">
        <v>10</v>
      </c>
      <c r="F5" s="15" t="s">
        <v>11</v>
      </c>
      <c r="G5" s="15" t="s">
        <v>12</v>
      </c>
      <c r="H5" s="16" t="s">
        <v>13</v>
      </c>
      <c r="I5" s="17" t="s">
        <v>14</v>
      </c>
      <c r="J5" s="13" t="s">
        <v>15</v>
      </c>
      <c r="K5" s="13" t="s">
        <v>16</v>
      </c>
      <c r="L5" s="13" t="s">
        <v>17</v>
      </c>
      <c r="M5" s="13" t="s">
        <v>18</v>
      </c>
      <c r="N5" s="13" t="s">
        <v>19</v>
      </c>
      <c r="O5" s="13" t="s">
        <v>20</v>
      </c>
      <c r="P5" s="13" t="s">
        <v>21</v>
      </c>
      <c r="Q5" s="13" t="s">
        <v>22</v>
      </c>
      <c r="R5" s="12"/>
      <c r="S5" s="13" t="s">
        <v>23</v>
      </c>
      <c r="T5" s="13" t="s">
        <v>24</v>
      </c>
      <c r="U5" s="18" t="s">
        <v>25</v>
      </c>
    </row>
    <row r="6" spans="1:78" s="8" customFormat="1" x14ac:dyDescent="0.25">
      <c r="A6" s="19"/>
      <c r="B6" s="20"/>
      <c r="C6" s="21"/>
      <c r="D6" s="22"/>
      <c r="E6" s="23"/>
      <c r="F6" s="23"/>
      <c r="G6" s="23"/>
      <c r="H6" s="24">
        <v>0.18</v>
      </c>
      <c r="I6" s="23"/>
      <c r="J6" s="24">
        <v>0.01</v>
      </c>
      <c r="K6" s="24">
        <v>0.05</v>
      </c>
      <c r="L6" s="24">
        <v>0.05</v>
      </c>
      <c r="M6" s="24">
        <v>0.1</v>
      </c>
      <c r="N6" s="24">
        <v>0.18</v>
      </c>
      <c r="O6" s="25"/>
      <c r="P6" s="25"/>
      <c r="Q6" s="23"/>
      <c r="R6" s="19"/>
      <c r="S6" s="23"/>
      <c r="T6" s="23"/>
      <c r="U6" s="26"/>
    </row>
    <row r="7" spans="1:78" s="35" customFormat="1" x14ac:dyDescent="0.25">
      <c r="A7" s="27">
        <v>57724</v>
      </c>
      <c r="B7" s="28"/>
      <c r="C7" s="29"/>
      <c r="D7" s="30"/>
      <c r="E7" s="31"/>
      <c r="F7" s="31"/>
      <c r="G7" s="31"/>
      <c r="H7" s="32"/>
      <c r="I7" s="31"/>
      <c r="J7" s="32"/>
      <c r="K7" s="32"/>
      <c r="L7" s="32"/>
      <c r="M7" s="32"/>
      <c r="N7" s="32"/>
      <c r="O7" s="33"/>
      <c r="P7" s="33"/>
      <c r="Q7" s="31"/>
      <c r="R7" s="27">
        <v>57724</v>
      </c>
      <c r="S7" s="31"/>
      <c r="T7" s="31"/>
      <c r="U7" s="34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</row>
    <row r="8" spans="1:78" s="8" customFormat="1" ht="85.5" x14ac:dyDescent="0.25">
      <c r="A8" s="19">
        <v>57724</v>
      </c>
      <c r="B8" s="36" t="s">
        <v>26</v>
      </c>
      <c r="C8" s="37">
        <v>45192</v>
      </c>
      <c r="D8" s="38" t="s">
        <v>27</v>
      </c>
      <c r="E8" s="23">
        <f>4687500*15%</f>
        <v>703125</v>
      </c>
      <c r="F8" s="23">
        <v>0</v>
      </c>
      <c r="G8" s="23">
        <f>ROUND(E8-F8,)</f>
        <v>703125</v>
      </c>
      <c r="H8" s="23">
        <f>G8*18%</f>
        <v>126562.5</v>
      </c>
      <c r="I8" s="23">
        <f>G8+H8</f>
        <v>829687.5</v>
      </c>
      <c r="J8" s="23">
        <f>ROUND(G8*$J$9,)</f>
        <v>0</v>
      </c>
      <c r="K8" s="23">
        <f>ROUND(G8*$K$9,)</f>
        <v>0</v>
      </c>
      <c r="L8" s="23"/>
      <c r="M8" s="23"/>
      <c r="N8" s="39">
        <f>H8</f>
        <v>126562.5</v>
      </c>
      <c r="O8" s="23">
        <v>0</v>
      </c>
      <c r="P8" s="23">
        <v>134615</v>
      </c>
      <c r="Q8" s="40">
        <f>ROUND(I8-SUM(J8:O8),0)</f>
        <v>703125</v>
      </c>
      <c r="R8" s="19" t="s">
        <v>28</v>
      </c>
      <c r="S8" s="40">
        <v>198000</v>
      </c>
      <c r="T8" s="41" t="s">
        <v>29</v>
      </c>
      <c r="U8" s="26"/>
    </row>
    <row r="9" spans="1:78" s="8" customFormat="1" x14ac:dyDescent="0.25">
      <c r="A9" s="19">
        <v>57724</v>
      </c>
      <c r="B9" s="36" t="s">
        <v>30</v>
      </c>
      <c r="C9" s="42"/>
      <c r="D9" s="38" t="s">
        <v>27</v>
      </c>
      <c r="E9" s="23">
        <f>H8</f>
        <v>126562.5</v>
      </c>
      <c r="F9" s="23"/>
      <c r="G9" s="23"/>
      <c r="H9" s="23"/>
      <c r="I9" s="23"/>
      <c r="J9" s="23"/>
      <c r="K9" s="23"/>
      <c r="L9" s="23"/>
      <c r="M9" s="23"/>
      <c r="N9" s="23"/>
      <c r="O9" s="20"/>
      <c r="P9" s="20"/>
      <c r="Q9" s="39">
        <f>N8</f>
        <v>126562.5</v>
      </c>
      <c r="R9" s="19"/>
      <c r="S9" s="40">
        <v>65938</v>
      </c>
      <c r="T9" s="41" t="s">
        <v>31</v>
      </c>
      <c r="U9" s="26"/>
    </row>
    <row r="10" spans="1:78" s="8" customFormat="1" x14ac:dyDescent="0.25">
      <c r="A10" s="19"/>
      <c r="B10" s="36"/>
      <c r="C10" s="42"/>
      <c r="D10" s="43"/>
      <c r="E10" s="23"/>
      <c r="F10" s="23"/>
      <c r="G10" s="23">
        <f>E10-F10</f>
        <v>0</v>
      </c>
      <c r="H10" s="23">
        <v>0</v>
      </c>
      <c r="I10" s="23">
        <f>G10+H10</f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0">
        <v>0</v>
      </c>
      <c r="P10" s="20"/>
      <c r="Q10" s="23">
        <f>ROUND(I10-SUM(J10:O10),0)</f>
        <v>0</v>
      </c>
      <c r="R10" s="19"/>
      <c r="S10" s="23">
        <v>126563</v>
      </c>
      <c r="T10" s="41" t="s">
        <v>32</v>
      </c>
      <c r="U10" s="26"/>
    </row>
    <row r="11" spans="1:78" s="35" customFormat="1" x14ac:dyDescent="0.25">
      <c r="A11" s="27">
        <v>57723</v>
      </c>
      <c r="B11" s="28"/>
      <c r="C11" s="29"/>
      <c r="D11" s="30"/>
      <c r="E11" s="31"/>
      <c r="F11" s="31">
        <v>0</v>
      </c>
      <c r="G11" s="31">
        <f>ROUND(E11-F11,)</f>
        <v>0</v>
      </c>
      <c r="H11" s="32">
        <f>ROUND(G11*H6,0)</f>
        <v>0</v>
      </c>
      <c r="I11" s="31">
        <f>G11+H11</f>
        <v>0</v>
      </c>
      <c r="J11" s="32">
        <f>ROUND(G11*$J$9,)</f>
        <v>0</v>
      </c>
      <c r="K11" s="32">
        <f>ROUND(G11*$K$9,)</f>
        <v>0</v>
      </c>
      <c r="L11" s="32">
        <f>ROUND(G11*10%,)</f>
        <v>0</v>
      </c>
      <c r="M11" s="32">
        <f>ROUND(G11*$M$9,)</f>
        <v>0</v>
      </c>
      <c r="N11" s="32">
        <f>H11</f>
        <v>0</v>
      </c>
      <c r="O11" s="33"/>
      <c r="P11" s="33"/>
      <c r="Q11" s="31">
        <f>ROUND(I11-SUM(J11:O11),0)</f>
        <v>0</v>
      </c>
      <c r="R11" s="27">
        <v>57723</v>
      </c>
      <c r="S11" s="31"/>
      <c r="T11" s="31"/>
      <c r="U11" s="44">
        <f>SUM(Q8:Q10,0)-SUM(S8:S10,0)</f>
        <v>439186.5</v>
      </c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</row>
    <row r="12" spans="1:78" s="8" customFormat="1" ht="114" x14ac:dyDescent="0.25">
      <c r="A12" s="27">
        <v>57723</v>
      </c>
      <c r="B12" s="36" t="s">
        <v>33</v>
      </c>
      <c r="C12" s="21"/>
      <c r="D12" s="43"/>
      <c r="E12" s="23"/>
      <c r="F12" s="23"/>
      <c r="G12" s="23">
        <v>0</v>
      </c>
      <c r="H12" s="23">
        <v>0</v>
      </c>
      <c r="I12" s="23">
        <v>0</v>
      </c>
      <c r="J12" s="23">
        <f>J$9*I12</f>
        <v>0</v>
      </c>
      <c r="K12" s="23">
        <v>0</v>
      </c>
      <c r="L12" s="23"/>
      <c r="M12" s="23"/>
      <c r="N12" s="23">
        <v>0</v>
      </c>
      <c r="O12" s="20"/>
      <c r="P12" s="20"/>
      <c r="Q12" s="23"/>
      <c r="R12" s="19"/>
      <c r="S12" s="40">
        <v>198000</v>
      </c>
      <c r="T12" s="41" t="s">
        <v>34</v>
      </c>
      <c r="U12" s="26" t="s">
        <v>35</v>
      </c>
    </row>
    <row r="13" spans="1:78" s="8" customFormat="1" x14ac:dyDescent="0.25">
      <c r="A13" s="19"/>
      <c r="B13" s="20"/>
      <c r="C13" s="21"/>
      <c r="D13" s="22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0"/>
      <c r="P13" s="20"/>
      <c r="Q13" s="23"/>
      <c r="R13" s="19"/>
      <c r="S13" s="23"/>
      <c r="T13" s="41"/>
      <c r="U13" s="26"/>
    </row>
    <row r="14" spans="1:78" s="35" customFormat="1" x14ac:dyDescent="0.25">
      <c r="A14" s="27">
        <v>57202</v>
      </c>
      <c r="B14" s="28"/>
      <c r="C14" s="29"/>
      <c r="D14" s="30"/>
      <c r="E14" s="31"/>
      <c r="F14" s="31"/>
      <c r="G14" s="31"/>
      <c r="H14" s="32"/>
      <c r="I14" s="31"/>
      <c r="J14" s="32"/>
      <c r="K14" s="32"/>
      <c r="L14" s="32"/>
      <c r="M14" s="32"/>
      <c r="N14" s="32"/>
      <c r="O14" s="33"/>
      <c r="P14" s="33"/>
      <c r="Q14" s="31"/>
      <c r="R14" s="27">
        <v>57202</v>
      </c>
      <c r="S14" s="31"/>
      <c r="T14" s="31"/>
      <c r="U14" s="44">
        <f>SUM(Q11:Q13,0)-SUM(S11:S13,0)</f>
        <v>-198000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</row>
    <row r="15" spans="1:78" s="8" customFormat="1" ht="28.5" customHeight="1" x14ac:dyDescent="0.25">
      <c r="A15" s="27">
        <v>57202</v>
      </c>
      <c r="B15" s="36" t="s">
        <v>36</v>
      </c>
      <c r="C15" s="37">
        <v>45192</v>
      </c>
      <c r="D15" s="38">
        <v>15</v>
      </c>
      <c r="E15" s="23">
        <f>2475000*5%</f>
        <v>123750</v>
      </c>
      <c r="F15" s="23">
        <v>0</v>
      </c>
      <c r="G15" s="23">
        <f>ROUND(E15-F15,)</f>
        <v>123750</v>
      </c>
      <c r="H15" s="23">
        <f>G15*18%</f>
        <v>22275</v>
      </c>
      <c r="I15" s="23">
        <f>G15+H15</f>
        <v>146025</v>
      </c>
      <c r="J15" s="23">
        <f>ROUND(G15*$J$9,)</f>
        <v>0</v>
      </c>
      <c r="K15" s="23">
        <f>ROUND(G15*$K$9,)</f>
        <v>0</v>
      </c>
      <c r="L15" s="23"/>
      <c r="M15" s="23"/>
      <c r="N15" s="39">
        <f>H15</f>
        <v>22275</v>
      </c>
      <c r="O15" s="23">
        <v>0</v>
      </c>
      <c r="P15" s="23">
        <v>23750</v>
      </c>
      <c r="Q15" s="40">
        <f>ROUND(I15-SUM(J15:O15),0)</f>
        <v>123750</v>
      </c>
      <c r="R15" s="19" t="s">
        <v>37</v>
      </c>
      <c r="S15" s="40">
        <v>99000</v>
      </c>
      <c r="T15" s="41" t="s">
        <v>38</v>
      </c>
      <c r="U15" s="26" t="s">
        <v>39</v>
      </c>
    </row>
    <row r="16" spans="1:78" s="8" customFormat="1" x14ac:dyDescent="0.25">
      <c r="A16" s="27">
        <v>57202</v>
      </c>
      <c r="B16" s="20" t="s">
        <v>40</v>
      </c>
      <c r="C16" s="21"/>
      <c r="D16" s="38">
        <v>15</v>
      </c>
      <c r="E16" s="23">
        <f>N15</f>
        <v>22275</v>
      </c>
      <c r="F16" s="23"/>
      <c r="G16" s="23"/>
      <c r="H16" s="23"/>
      <c r="I16" s="23"/>
      <c r="J16" s="23"/>
      <c r="K16" s="23"/>
      <c r="L16" s="23"/>
      <c r="M16" s="23"/>
      <c r="N16" s="23"/>
      <c r="O16" s="20"/>
      <c r="P16" s="20"/>
      <c r="Q16" s="39">
        <f>E16</f>
        <v>22275</v>
      </c>
      <c r="R16" s="19"/>
      <c r="S16" s="40">
        <v>17324</v>
      </c>
      <c r="T16" s="41" t="s">
        <v>41</v>
      </c>
      <c r="U16" s="26"/>
    </row>
    <row r="17" spans="1:78" s="8" customFormat="1" x14ac:dyDescent="0.25">
      <c r="A17" s="19"/>
      <c r="B17" s="20"/>
      <c r="C17" s="21"/>
      <c r="D17" s="38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0"/>
      <c r="P17" s="20"/>
      <c r="Q17" s="45"/>
      <c r="R17" s="19"/>
      <c r="S17" s="23">
        <v>22275</v>
      </c>
      <c r="T17" s="41" t="s">
        <v>42</v>
      </c>
      <c r="U17" s="26"/>
    </row>
    <row r="18" spans="1:78" s="35" customFormat="1" x14ac:dyDescent="0.25">
      <c r="A18" s="27">
        <v>57201</v>
      </c>
      <c r="B18" s="28"/>
      <c r="C18" s="29"/>
      <c r="D18" s="30"/>
      <c r="E18" s="31"/>
      <c r="F18" s="31"/>
      <c r="G18" s="31"/>
      <c r="H18" s="32"/>
      <c r="I18" s="31"/>
      <c r="J18" s="32"/>
      <c r="K18" s="32"/>
      <c r="L18" s="32"/>
      <c r="M18" s="32"/>
      <c r="N18" s="32"/>
      <c r="O18" s="33"/>
      <c r="P18" s="33"/>
      <c r="Q18" s="31"/>
      <c r="R18" s="27">
        <v>57201</v>
      </c>
      <c r="S18" s="31"/>
      <c r="T18" s="31"/>
      <c r="U18" s="44">
        <f>SUM(Q15:Q17,0)-SUM(S15:S17,0)</f>
        <v>7426</v>
      </c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</row>
    <row r="19" spans="1:78" s="8" customFormat="1" ht="77.25" customHeight="1" x14ac:dyDescent="0.25">
      <c r="A19" s="27">
        <v>57201</v>
      </c>
      <c r="B19" s="20" t="s">
        <v>43</v>
      </c>
      <c r="C19" s="21"/>
      <c r="D19" s="22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0"/>
      <c r="P19" s="20"/>
      <c r="Q19" s="23"/>
      <c r="R19" s="19">
        <v>57724</v>
      </c>
      <c r="S19" s="40">
        <v>99000</v>
      </c>
      <c r="T19" s="41" t="s">
        <v>44</v>
      </c>
      <c r="U19" s="26" t="s">
        <v>39</v>
      </c>
    </row>
    <row r="20" spans="1:78" s="8" customFormat="1" x14ac:dyDescent="0.25">
      <c r="A20" s="19"/>
      <c r="B20" s="20"/>
      <c r="C20" s="21"/>
      <c r="D20" s="22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0"/>
      <c r="P20" s="20"/>
      <c r="Q20" s="23"/>
      <c r="R20" s="19"/>
      <c r="S20" s="23"/>
      <c r="T20" s="41"/>
      <c r="U20" s="26"/>
    </row>
    <row r="21" spans="1:78" s="35" customFormat="1" x14ac:dyDescent="0.25">
      <c r="A21" s="27">
        <v>57200</v>
      </c>
      <c r="B21" s="28"/>
      <c r="C21" s="29"/>
      <c r="D21" s="30"/>
      <c r="E21" s="31"/>
      <c r="F21" s="31"/>
      <c r="G21" s="31"/>
      <c r="H21" s="32"/>
      <c r="I21" s="31"/>
      <c r="J21" s="32"/>
      <c r="K21" s="32"/>
      <c r="L21" s="32"/>
      <c r="M21" s="32"/>
      <c r="N21" s="32"/>
      <c r="O21" s="33"/>
      <c r="P21" s="33"/>
      <c r="Q21" s="31"/>
      <c r="R21" s="27">
        <v>57200</v>
      </c>
      <c r="S21" s="31"/>
      <c r="T21" s="31"/>
      <c r="U21" s="44">
        <f>SUM(Q19:Q20,0)-SUM(S19:S20,0)</f>
        <v>-99000</v>
      </c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</row>
    <row r="22" spans="1:78" s="8" customFormat="1" ht="46.5" customHeight="1" x14ac:dyDescent="0.25">
      <c r="A22" s="27">
        <v>57200</v>
      </c>
      <c r="B22" s="20" t="s">
        <v>45</v>
      </c>
      <c r="C22" s="21"/>
      <c r="D22" s="22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0"/>
      <c r="P22" s="20"/>
      <c r="Q22" s="23"/>
      <c r="R22" s="19">
        <v>57724</v>
      </c>
      <c r="S22" s="40">
        <v>99000</v>
      </c>
      <c r="T22" s="46" t="s">
        <v>46</v>
      </c>
      <c r="U22" s="26" t="s">
        <v>39</v>
      </c>
    </row>
    <row r="23" spans="1:78" s="8" customFormat="1" x14ac:dyDescent="0.25">
      <c r="A23" s="19"/>
      <c r="B23" s="20"/>
      <c r="C23" s="21"/>
      <c r="D23" s="22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0"/>
      <c r="P23" s="20"/>
      <c r="Q23" s="23"/>
      <c r="R23" s="19"/>
      <c r="S23" s="23">
        <v>297000</v>
      </c>
      <c r="T23" s="41" t="s">
        <v>47</v>
      </c>
      <c r="U23" s="26"/>
    </row>
    <row r="24" spans="1:78" s="35" customFormat="1" x14ac:dyDescent="0.25">
      <c r="B24" s="28"/>
      <c r="C24" s="29"/>
      <c r="D24" s="30"/>
      <c r="E24" s="31"/>
      <c r="F24" s="31"/>
      <c r="G24" s="31"/>
      <c r="H24" s="32"/>
      <c r="I24" s="31"/>
      <c r="J24" s="32"/>
      <c r="K24" s="32"/>
      <c r="L24" s="32"/>
      <c r="M24" s="32"/>
      <c r="N24" s="32"/>
      <c r="O24" s="33"/>
      <c r="P24" s="33"/>
      <c r="Q24" s="31"/>
      <c r="R24" s="27">
        <v>57199</v>
      </c>
      <c r="S24" s="31"/>
      <c r="T24" s="31"/>
      <c r="U24" s="44">
        <f>SUM(Q21:Q23,0)-SUM(S21:S23,0)</f>
        <v>-396000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</row>
    <row r="25" spans="1:78" s="8" customFormat="1" ht="66" customHeight="1" x14ac:dyDescent="0.25">
      <c r="A25" s="27">
        <v>57199</v>
      </c>
      <c r="B25" s="20" t="s">
        <v>48</v>
      </c>
      <c r="C25" s="21"/>
      <c r="D25" s="22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0"/>
      <c r="P25" s="20"/>
      <c r="Q25" s="23"/>
      <c r="R25" s="19">
        <v>57724</v>
      </c>
      <c r="S25" s="40">
        <v>99000</v>
      </c>
      <c r="T25" s="41" t="s">
        <v>49</v>
      </c>
      <c r="U25" s="26" t="s">
        <v>39</v>
      </c>
    </row>
    <row r="26" spans="1:78" s="8" customFormat="1" x14ac:dyDescent="0.25">
      <c r="A26" s="19"/>
      <c r="B26" s="20"/>
      <c r="C26" s="21"/>
      <c r="D26" s="22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0"/>
      <c r="P26" s="20"/>
      <c r="Q26" s="23"/>
      <c r="R26" s="19"/>
      <c r="S26" s="23">
        <v>198000</v>
      </c>
      <c r="T26" s="41" t="s">
        <v>50</v>
      </c>
      <c r="U26" s="26"/>
    </row>
    <row r="27" spans="1:78" s="35" customFormat="1" x14ac:dyDescent="0.25">
      <c r="A27" s="27">
        <v>54234</v>
      </c>
      <c r="B27" s="28"/>
      <c r="C27" s="29"/>
      <c r="D27" s="30"/>
      <c r="E27" s="31"/>
      <c r="F27" s="31"/>
      <c r="G27" s="31"/>
      <c r="H27" s="32"/>
      <c r="I27" s="31"/>
      <c r="J27" s="32"/>
      <c r="K27" s="32"/>
      <c r="L27" s="32"/>
      <c r="M27" s="32"/>
      <c r="N27" s="32"/>
      <c r="O27" s="33"/>
      <c r="P27" s="33"/>
      <c r="Q27" s="31"/>
      <c r="R27" s="27">
        <v>54234</v>
      </c>
      <c r="S27" s="31"/>
      <c r="T27" s="31"/>
      <c r="U27" s="44">
        <f>SUM(Q24:Q26,0)-SUM(S24:S26,0)</f>
        <v>-297000</v>
      </c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</row>
    <row r="28" spans="1:78" s="8" customFormat="1" ht="99.75" x14ac:dyDescent="0.25">
      <c r="A28" s="27">
        <v>54234</v>
      </c>
      <c r="B28" s="20" t="s">
        <v>51</v>
      </c>
      <c r="C28" s="21">
        <v>44919</v>
      </c>
      <c r="D28" s="22">
        <v>5</v>
      </c>
      <c r="E28" s="23">
        <v>534736</v>
      </c>
      <c r="F28" s="23">
        <v>0</v>
      </c>
      <c r="G28" s="23">
        <v>534736</v>
      </c>
      <c r="H28" s="23">
        <v>96252</v>
      </c>
      <c r="I28" s="23">
        <v>630988</v>
      </c>
      <c r="J28" s="23">
        <v>5347.36</v>
      </c>
      <c r="K28" s="23">
        <v>26736.800000000003</v>
      </c>
      <c r="L28" s="23">
        <v>53473.600000000006</v>
      </c>
      <c r="M28" s="23">
        <v>53473.600000000006</v>
      </c>
      <c r="N28" s="39">
        <v>96252</v>
      </c>
      <c r="O28" s="20">
        <v>43129</v>
      </c>
      <c r="P28" s="20"/>
      <c r="Q28" s="40">
        <v>352576</v>
      </c>
      <c r="R28" s="19"/>
      <c r="S28" s="40">
        <v>352575</v>
      </c>
      <c r="T28" s="41" t="s">
        <v>52</v>
      </c>
      <c r="U28" s="26"/>
    </row>
    <row r="29" spans="1:78" s="8" customFormat="1" ht="42.75" x14ac:dyDescent="0.25">
      <c r="A29" s="27">
        <v>54234</v>
      </c>
      <c r="B29" s="20" t="s">
        <v>53</v>
      </c>
      <c r="C29" s="21">
        <v>44942</v>
      </c>
      <c r="D29" s="22">
        <v>5</v>
      </c>
      <c r="E29" s="23">
        <v>96252</v>
      </c>
      <c r="F29" s="23">
        <v>0</v>
      </c>
      <c r="G29" s="23">
        <v>96252</v>
      </c>
      <c r="H29" s="23">
        <v>0</v>
      </c>
      <c r="I29" s="23">
        <v>96252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0">
        <v>0</v>
      </c>
      <c r="P29" s="20"/>
      <c r="Q29" s="39">
        <v>96252</v>
      </c>
      <c r="R29" s="19"/>
      <c r="S29" s="40">
        <v>96252</v>
      </c>
      <c r="T29" s="41" t="s">
        <v>54</v>
      </c>
      <c r="U29" s="26"/>
    </row>
    <row r="30" spans="1:78" s="8" customFormat="1" ht="99.75" x14ac:dyDescent="0.25">
      <c r="A30" s="27">
        <v>54234</v>
      </c>
      <c r="B30" s="20" t="s">
        <v>51</v>
      </c>
      <c r="C30" s="21">
        <v>44957</v>
      </c>
      <c r="D30" s="22">
        <v>7</v>
      </c>
      <c r="E30" s="23">
        <v>605360</v>
      </c>
      <c r="F30" s="23">
        <v>39560.400000000001</v>
      </c>
      <c r="G30" s="23">
        <v>565799.6</v>
      </c>
      <c r="H30" s="23">
        <v>101844</v>
      </c>
      <c r="I30" s="23">
        <v>667643.6</v>
      </c>
      <c r="J30" s="23">
        <v>5657.9960000000001</v>
      </c>
      <c r="K30" s="23">
        <v>28289.98</v>
      </c>
      <c r="L30" s="23">
        <v>56579.96</v>
      </c>
      <c r="M30" s="23">
        <v>56579.96</v>
      </c>
      <c r="N30" s="39">
        <v>101844</v>
      </c>
      <c r="O30" s="20">
        <v>62783</v>
      </c>
      <c r="P30" s="20"/>
      <c r="Q30" s="40">
        <v>355909</v>
      </c>
      <c r="R30" s="19"/>
      <c r="S30" s="40">
        <v>198000</v>
      </c>
      <c r="T30" s="41" t="s">
        <v>55</v>
      </c>
      <c r="U30" s="26"/>
    </row>
    <row r="31" spans="1:78" s="8" customFormat="1" ht="99.75" x14ac:dyDescent="0.25">
      <c r="A31" s="27">
        <v>54234</v>
      </c>
      <c r="B31" s="20" t="s">
        <v>51</v>
      </c>
      <c r="C31" s="21">
        <v>45024</v>
      </c>
      <c r="D31" s="22">
        <v>1</v>
      </c>
      <c r="E31" s="23">
        <v>303939</v>
      </c>
      <c r="F31" s="23">
        <v>0</v>
      </c>
      <c r="G31" s="23">
        <v>303939</v>
      </c>
      <c r="H31" s="23">
        <v>54709</v>
      </c>
      <c r="I31" s="23">
        <v>358648</v>
      </c>
      <c r="J31" s="23">
        <v>3039.39</v>
      </c>
      <c r="K31" s="23">
        <v>15196.95</v>
      </c>
      <c r="L31" s="23">
        <v>15196.95</v>
      </c>
      <c r="M31" s="23">
        <v>30393.9</v>
      </c>
      <c r="N31" s="39">
        <v>54709</v>
      </c>
      <c r="O31" s="20"/>
      <c r="P31" s="20"/>
      <c r="Q31" s="40">
        <v>240112</v>
      </c>
      <c r="R31" s="19"/>
      <c r="S31" s="40">
        <v>157909</v>
      </c>
      <c r="T31" s="41" t="s">
        <v>56</v>
      </c>
      <c r="U31" s="26"/>
    </row>
    <row r="32" spans="1:78" s="8" customFormat="1" ht="42.75" x14ac:dyDescent="0.25">
      <c r="A32" s="27">
        <v>54234</v>
      </c>
      <c r="B32" s="20" t="s">
        <v>53</v>
      </c>
      <c r="C32" s="21">
        <v>44975</v>
      </c>
      <c r="D32" s="22">
        <v>7</v>
      </c>
      <c r="E32" s="23">
        <v>101844</v>
      </c>
      <c r="F32" s="23"/>
      <c r="G32" s="23"/>
      <c r="H32" s="23"/>
      <c r="I32" s="23"/>
      <c r="J32" s="23"/>
      <c r="K32" s="23"/>
      <c r="L32" s="23"/>
      <c r="M32" s="23"/>
      <c r="N32" s="23"/>
      <c r="O32" s="20"/>
      <c r="P32" s="20"/>
      <c r="Q32" s="39">
        <v>101844</v>
      </c>
      <c r="R32" s="19"/>
      <c r="S32" s="40">
        <v>101844</v>
      </c>
      <c r="T32" s="41" t="s">
        <v>57</v>
      </c>
      <c r="U32" s="26"/>
    </row>
    <row r="33" spans="1:78" s="8" customFormat="1" ht="42.75" x14ac:dyDescent="0.25">
      <c r="A33" s="27">
        <v>54234</v>
      </c>
      <c r="B33" s="20" t="s">
        <v>53</v>
      </c>
      <c r="C33" s="21">
        <v>45069</v>
      </c>
      <c r="D33" s="22">
        <v>1</v>
      </c>
      <c r="E33" s="23">
        <v>54709</v>
      </c>
      <c r="F33" s="23"/>
      <c r="G33" s="23"/>
      <c r="H33" s="23"/>
      <c r="I33" s="23"/>
      <c r="J33" s="23"/>
      <c r="K33" s="23"/>
      <c r="L33" s="23"/>
      <c r="M33" s="23"/>
      <c r="N33" s="23"/>
      <c r="O33" s="20"/>
      <c r="P33" s="20"/>
      <c r="Q33" s="39">
        <v>54709</v>
      </c>
      <c r="R33" s="19"/>
      <c r="S33" s="40">
        <v>198000</v>
      </c>
      <c r="T33" s="41" t="s">
        <v>58</v>
      </c>
      <c r="U33" s="26"/>
    </row>
    <row r="34" spans="1:78" s="8" customFormat="1" ht="99.75" x14ac:dyDescent="0.25">
      <c r="A34" s="27">
        <v>54234</v>
      </c>
      <c r="B34" s="20" t="s">
        <v>51</v>
      </c>
      <c r="C34" s="21">
        <v>45024</v>
      </c>
      <c r="D34" s="22" t="s">
        <v>59</v>
      </c>
      <c r="E34" s="23">
        <v>282452</v>
      </c>
      <c r="F34" s="23">
        <v>1480</v>
      </c>
      <c r="G34" s="23">
        <f>E34-F34</f>
        <v>280972</v>
      </c>
      <c r="H34" s="23">
        <f>G34*18%</f>
        <v>50574.96</v>
      </c>
      <c r="I34" s="23">
        <f>G34+H34</f>
        <v>331546.96000000002</v>
      </c>
      <c r="J34" s="23">
        <f>G34*1%</f>
        <v>2809.7200000000003</v>
      </c>
      <c r="K34" s="23">
        <f>5%*G34</f>
        <v>14048.6</v>
      </c>
      <c r="L34" s="23">
        <f>5%*G34</f>
        <v>14048.6</v>
      </c>
      <c r="M34" s="23">
        <f>10%*G34</f>
        <v>28097.200000000001</v>
      </c>
      <c r="N34" s="39">
        <f>H34</f>
        <v>50574.96</v>
      </c>
      <c r="O34" s="20"/>
      <c r="P34" s="20">
        <v>56195</v>
      </c>
      <c r="Q34" s="40">
        <f>G34-J34-K34-L34-M34</f>
        <v>221967.88000000003</v>
      </c>
      <c r="R34" s="19" t="s">
        <v>60</v>
      </c>
      <c r="S34" s="40">
        <v>42112</v>
      </c>
      <c r="T34" s="41" t="s">
        <v>61</v>
      </c>
      <c r="U34" s="26"/>
    </row>
    <row r="35" spans="1:78" s="8" customFormat="1" ht="42.75" x14ac:dyDescent="0.25">
      <c r="A35" s="27">
        <v>54234</v>
      </c>
      <c r="B35" s="20" t="s">
        <v>53</v>
      </c>
      <c r="C35" s="21"/>
      <c r="D35" s="22" t="s">
        <v>59</v>
      </c>
      <c r="E35" s="23">
        <f>N34</f>
        <v>50574.96</v>
      </c>
      <c r="F35" s="23"/>
      <c r="G35" s="23"/>
      <c r="H35" s="23"/>
      <c r="I35" s="23"/>
      <c r="J35" s="23"/>
      <c r="K35" s="23"/>
      <c r="L35" s="23"/>
      <c r="M35" s="23"/>
      <c r="N35" s="23"/>
      <c r="O35" s="20"/>
      <c r="P35" s="20"/>
      <c r="Q35" s="39">
        <f>E35</f>
        <v>50574.96</v>
      </c>
      <c r="R35" s="19"/>
      <c r="S35" s="40">
        <v>54709</v>
      </c>
      <c r="T35" s="41" t="s">
        <v>62</v>
      </c>
      <c r="U35" s="26"/>
    </row>
    <row r="36" spans="1:78" s="8" customFormat="1" ht="99.75" x14ac:dyDescent="0.25">
      <c r="A36" s="27">
        <v>54234</v>
      </c>
      <c r="B36" s="20" t="s">
        <v>51</v>
      </c>
      <c r="C36" s="21">
        <v>45425</v>
      </c>
      <c r="D36" s="22">
        <v>4</v>
      </c>
      <c r="E36" s="23">
        <v>678566</v>
      </c>
      <c r="F36" s="23"/>
      <c r="G36" s="23">
        <f>E36-F36</f>
        <v>678566</v>
      </c>
      <c r="H36" s="23">
        <f>G36*18%</f>
        <v>122141.87999999999</v>
      </c>
      <c r="I36" s="23">
        <f>G36+H36</f>
        <v>800707.88</v>
      </c>
      <c r="J36" s="23">
        <f>G36*1%</f>
        <v>6785.66</v>
      </c>
      <c r="K36" s="23">
        <f>5%*G36</f>
        <v>33928.300000000003</v>
      </c>
      <c r="L36" s="23">
        <f>10%*G36</f>
        <v>67856.600000000006</v>
      </c>
      <c r="M36" s="23">
        <f>10%*G36</f>
        <v>67856.600000000006</v>
      </c>
      <c r="N36" s="23">
        <f>H36</f>
        <v>122141.87999999999</v>
      </c>
      <c r="O36" s="20"/>
      <c r="P36" s="20"/>
      <c r="Q36" s="40">
        <f>G36-J36-K36-L36-M36</f>
        <v>502138.83999999997</v>
      </c>
      <c r="R36" s="19"/>
      <c r="S36" s="40">
        <v>196000</v>
      </c>
      <c r="T36" s="41" t="s">
        <v>63</v>
      </c>
      <c r="U36" s="26"/>
    </row>
    <row r="37" spans="1:78" s="8" customFormat="1" x14ac:dyDescent="0.25">
      <c r="A37" s="19"/>
      <c r="B37" s="20"/>
      <c r="C37" s="21"/>
      <c r="D37" s="22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0"/>
      <c r="P37" s="20"/>
      <c r="Q37" s="23"/>
      <c r="R37" s="19"/>
      <c r="S37" s="40">
        <v>25968</v>
      </c>
      <c r="T37" s="41" t="s">
        <v>64</v>
      </c>
      <c r="U37" s="26"/>
    </row>
    <row r="38" spans="1:78" s="8" customFormat="1" x14ac:dyDescent="0.25">
      <c r="A38" s="19"/>
      <c r="B38" s="20"/>
      <c r="C38" s="21"/>
      <c r="D38" s="22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0"/>
      <c r="P38" s="20"/>
      <c r="Q38" s="23"/>
      <c r="R38" s="19"/>
      <c r="S38" s="40">
        <v>49500</v>
      </c>
      <c r="T38" s="41" t="s">
        <v>65</v>
      </c>
      <c r="U38" s="26"/>
    </row>
    <row r="39" spans="1:78" s="8" customFormat="1" x14ac:dyDescent="0.25">
      <c r="A39" s="19"/>
      <c r="B39" s="20"/>
      <c r="C39" s="21"/>
      <c r="D39" s="22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0"/>
      <c r="P39" s="20"/>
      <c r="Q39" s="23"/>
      <c r="R39" s="19"/>
      <c r="S39" s="40">
        <v>49500</v>
      </c>
      <c r="T39" s="41" t="s">
        <v>66</v>
      </c>
      <c r="U39" s="26"/>
    </row>
    <row r="40" spans="1:78" s="8" customFormat="1" x14ac:dyDescent="0.25">
      <c r="A40" s="19"/>
      <c r="B40" s="20"/>
      <c r="C40" s="21"/>
      <c r="D40" s="22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0"/>
      <c r="P40" s="20"/>
      <c r="Q40" s="23"/>
      <c r="R40" s="19"/>
      <c r="S40" s="23">
        <v>400328</v>
      </c>
      <c r="T40" s="41" t="s">
        <v>67</v>
      </c>
      <c r="U40" s="26"/>
    </row>
    <row r="41" spans="1:78" s="8" customFormat="1" x14ac:dyDescent="0.25">
      <c r="A41" s="19"/>
      <c r="B41" s="20"/>
      <c r="C41" s="21"/>
      <c r="D41" s="22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0"/>
      <c r="P41" s="20"/>
      <c r="Q41" s="23"/>
      <c r="R41" s="19"/>
      <c r="S41" s="23">
        <v>49500</v>
      </c>
      <c r="T41" s="41" t="s">
        <v>68</v>
      </c>
      <c r="U41" s="26"/>
    </row>
    <row r="42" spans="1:78" s="35" customFormat="1" x14ac:dyDescent="0.25">
      <c r="A42" s="27">
        <v>54217</v>
      </c>
      <c r="B42" s="28"/>
      <c r="C42" s="29"/>
      <c r="D42" s="30"/>
      <c r="E42" s="31"/>
      <c r="F42" s="31"/>
      <c r="G42" s="31"/>
      <c r="H42" s="32"/>
      <c r="I42" s="31"/>
      <c r="J42" s="32"/>
      <c r="K42" s="32"/>
      <c r="L42" s="32"/>
      <c r="M42" s="32"/>
      <c r="N42" s="32"/>
      <c r="O42" s="33"/>
      <c r="P42" s="33"/>
      <c r="Q42" s="31"/>
      <c r="R42" s="27">
        <v>54217</v>
      </c>
      <c r="S42" s="31"/>
      <c r="T42" s="31"/>
      <c r="U42" s="44">
        <f>SUM(Q28:Q41,0)-SUM(S28:S41,0)</f>
        <v>3886.6800000001676</v>
      </c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</row>
    <row r="43" spans="1:78" s="8" customFormat="1" ht="71.25" x14ac:dyDescent="0.25">
      <c r="A43" s="27">
        <v>54217</v>
      </c>
      <c r="B43" s="20" t="s">
        <v>69</v>
      </c>
      <c r="C43" s="21">
        <v>44919</v>
      </c>
      <c r="D43" s="22">
        <v>4</v>
      </c>
      <c r="E43" s="23">
        <v>448841</v>
      </c>
      <c r="F43" s="23">
        <v>0</v>
      </c>
      <c r="G43" s="23">
        <v>448841</v>
      </c>
      <c r="H43" s="23">
        <v>80791</v>
      </c>
      <c r="I43" s="23">
        <v>529632</v>
      </c>
      <c r="J43" s="23">
        <v>4488</v>
      </c>
      <c r="K43" s="23">
        <v>22442</v>
      </c>
      <c r="L43" s="23">
        <v>44884</v>
      </c>
      <c r="M43" s="23">
        <v>44884</v>
      </c>
      <c r="N43" s="39">
        <v>80791</v>
      </c>
      <c r="O43" s="20">
        <v>33952</v>
      </c>
      <c r="P43" s="20"/>
      <c r="Q43" s="40">
        <v>298191</v>
      </c>
      <c r="R43" s="19"/>
      <c r="S43" s="40">
        <v>200000</v>
      </c>
      <c r="T43" s="41" t="s">
        <v>70</v>
      </c>
      <c r="U43" s="26"/>
    </row>
    <row r="44" spans="1:78" s="8" customFormat="1" ht="42.75" x14ac:dyDescent="0.25">
      <c r="A44" s="27">
        <v>54217</v>
      </c>
      <c r="B44" s="20" t="s">
        <v>71</v>
      </c>
      <c r="C44" s="21"/>
      <c r="D44" s="22">
        <v>4</v>
      </c>
      <c r="E44" s="23">
        <v>80791</v>
      </c>
      <c r="F44" s="23"/>
      <c r="G44" s="23">
        <v>80791</v>
      </c>
      <c r="H44" s="23">
        <v>0</v>
      </c>
      <c r="I44" s="23">
        <v>80791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0">
        <v>0</v>
      </c>
      <c r="P44" s="20"/>
      <c r="Q44" s="39">
        <v>80791</v>
      </c>
      <c r="R44" s="19"/>
      <c r="S44" s="40">
        <v>80791</v>
      </c>
      <c r="T44" s="41" t="s">
        <v>72</v>
      </c>
      <c r="U44" s="26"/>
    </row>
    <row r="45" spans="1:78" s="8" customFormat="1" ht="71.25" x14ac:dyDescent="0.25">
      <c r="A45" s="27">
        <v>54217</v>
      </c>
      <c r="B45" s="36" t="s">
        <v>69</v>
      </c>
      <c r="C45" s="37">
        <v>45157</v>
      </c>
      <c r="D45" s="38" t="s">
        <v>73</v>
      </c>
      <c r="E45" s="23">
        <v>438425</v>
      </c>
      <c r="F45" s="23"/>
      <c r="G45" s="23">
        <f>E45-F45</f>
        <v>438425</v>
      </c>
      <c r="H45" s="23">
        <f>G45*18%</f>
        <v>78916.5</v>
      </c>
      <c r="I45" s="23">
        <f>G45+H45</f>
        <v>517341.5</v>
      </c>
      <c r="J45" s="23">
        <f>ROUND(G45*$J$9,)</f>
        <v>0</v>
      </c>
      <c r="K45" s="23">
        <f>ROUND(G45*$K$9,)</f>
        <v>0</v>
      </c>
      <c r="L45" s="23">
        <f>ROUND(G45*5%,)</f>
        <v>21921</v>
      </c>
      <c r="M45" s="23">
        <f>ROUND(G45*$M$9,)</f>
        <v>0</v>
      </c>
      <c r="N45" s="39">
        <f>H45</f>
        <v>78916.5</v>
      </c>
      <c r="O45" s="23"/>
      <c r="P45" s="23">
        <v>87685</v>
      </c>
      <c r="Q45" s="40">
        <f>ROUND(I45-SUM(J45:O45),0)</f>
        <v>416504</v>
      </c>
      <c r="R45" s="19" t="s">
        <v>74</v>
      </c>
      <c r="S45" s="40">
        <v>98191</v>
      </c>
      <c r="T45" s="41" t="s">
        <v>75</v>
      </c>
      <c r="U45" s="26"/>
    </row>
    <row r="46" spans="1:78" s="8" customFormat="1" ht="42.75" x14ac:dyDescent="0.25">
      <c r="A46" s="27">
        <v>54217</v>
      </c>
      <c r="B46" s="20" t="s">
        <v>71</v>
      </c>
      <c r="C46" s="21"/>
      <c r="D46" s="22" t="s">
        <v>73</v>
      </c>
      <c r="E46" s="23">
        <f>N45</f>
        <v>78916.5</v>
      </c>
      <c r="F46" s="23"/>
      <c r="G46" s="23"/>
      <c r="H46" s="23"/>
      <c r="I46" s="23"/>
      <c r="J46" s="23"/>
      <c r="K46" s="23"/>
      <c r="L46" s="23"/>
      <c r="M46" s="23"/>
      <c r="N46" s="23"/>
      <c r="O46" s="20"/>
      <c r="P46" s="20"/>
      <c r="Q46" s="39">
        <f>E46</f>
        <v>78916.5</v>
      </c>
      <c r="R46" s="19"/>
      <c r="S46" s="40">
        <v>346356</v>
      </c>
      <c r="T46" s="41" t="s">
        <v>76</v>
      </c>
      <c r="U46" s="26"/>
    </row>
    <row r="47" spans="1:78" s="8" customFormat="1" x14ac:dyDescent="0.25">
      <c r="A47" s="19"/>
      <c r="B47" s="20"/>
      <c r="C47" s="21"/>
      <c r="D47" s="22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0"/>
      <c r="P47" s="20"/>
      <c r="Q47" s="23"/>
      <c r="R47" s="19"/>
      <c r="S47" s="40">
        <v>74250</v>
      </c>
      <c r="T47" s="41" t="s">
        <v>77</v>
      </c>
      <c r="U47" s="26"/>
    </row>
    <row r="48" spans="1:78" s="35" customFormat="1" x14ac:dyDescent="0.25">
      <c r="A48" s="27">
        <v>52830</v>
      </c>
      <c r="B48" s="28"/>
      <c r="C48" s="29"/>
      <c r="D48" s="30"/>
      <c r="E48" s="31"/>
      <c r="F48" s="31"/>
      <c r="G48" s="31"/>
      <c r="H48" s="32"/>
      <c r="I48" s="31"/>
      <c r="J48" s="32"/>
      <c r="K48" s="32"/>
      <c r="L48" s="32"/>
      <c r="M48" s="32"/>
      <c r="N48" s="32"/>
      <c r="O48" s="33"/>
      <c r="P48" s="33"/>
      <c r="Q48" s="31"/>
      <c r="R48" s="27">
        <v>52830</v>
      </c>
      <c r="S48" s="31"/>
      <c r="T48" s="31"/>
      <c r="U48" s="44">
        <f>SUM(Q43:Q47,0)-SUM(S43:S47,0)</f>
        <v>74814.5</v>
      </c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</row>
    <row r="49" spans="1:78" s="8" customFormat="1" ht="85.5" x14ac:dyDescent="0.25">
      <c r="A49" s="27">
        <v>52830</v>
      </c>
      <c r="B49" s="36" t="s">
        <v>78</v>
      </c>
      <c r="C49" s="37">
        <v>44880</v>
      </c>
      <c r="D49" s="38">
        <v>1</v>
      </c>
      <c r="E49" s="23">
        <v>2016203.5</v>
      </c>
      <c r="F49" s="23">
        <f>ROUND(650*89.91,)</f>
        <v>58442</v>
      </c>
      <c r="G49" s="23">
        <f>ROUND(E49-F49,)</f>
        <v>1957762</v>
      </c>
      <c r="H49" s="23">
        <f>G49*18%</f>
        <v>352397.16</v>
      </c>
      <c r="I49" s="23">
        <f t="shared" ref="I49:I55" si="0">G49+H49</f>
        <v>2310159.16</v>
      </c>
      <c r="J49" s="23">
        <f>ROUND(G49*$J$9,)</f>
        <v>0</v>
      </c>
      <c r="K49" s="23">
        <f>ROUND(G49*$K$9,)</f>
        <v>0</v>
      </c>
      <c r="L49" s="23">
        <f>ROUND(G49*$L$9,)</f>
        <v>0</v>
      </c>
      <c r="M49" s="23">
        <f>ROUND(G49*$M$9,)</f>
        <v>0</v>
      </c>
      <c r="N49" s="39">
        <f>H49</f>
        <v>352397.16</v>
      </c>
      <c r="O49" s="23">
        <v>516724</v>
      </c>
      <c r="P49" s="23"/>
      <c r="Q49" s="40">
        <f>ROUND(I49-SUM(J49:O49),0)</f>
        <v>1441038</v>
      </c>
      <c r="R49" s="19"/>
      <c r="S49" s="40">
        <v>495000</v>
      </c>
      <c r="T49" s="41" t="s">
        <v>79</v>
      </c>
      <c r="U49" s="26"/>
    </row>
    <row r="50" spans="1:78" s="8" customFormat="1" ht="42.75" x14ac:dyDescent="0.25">
      <c r="A50" s="27">
        <v>52830</v>
      </c>
      <c r="B50" s="36" t="s">
        <v>71</v>
      </c>
      <c r="C50" s="37"/>
      <c r="D50" s="43">
        <v>1</v>
      </c>
      <c r="E50" s="23">
        <f>N49</f>
        <v>352397.16</v>
      </c>
      <c r="F50" s="23"/>
      <c r="G50" s="23">
        <f>E50-F50</f>
        <v>352397.16</v>
      </c>
      <c r="H50" s="23">
        <v>0</v>
      </c>
      <c r="I50" s="23">
        <f t="shared" si="0"/>
        <v>352397.16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/>
      <c r="Q50" s="39">
        <f>ROUND(I50-SUM(J50:O50),0)</f>
        <v>352397</v>
      </c>
      <c r="R50" s="19"/>
      <c r="S50" s="40">
        <v>534908</v>
      </c>
      <c r="T50" s="41" t="s">
        <v>80</v>
      </c>
      <c r="U50" s="26"/>
    </row>
    <row r="51" spans="1:78" s="8" customFormat="1" ht="54" x14ac:dyDescent="0.25">
      <c r="A51" s="27">
        <v>52830</v>
      </c>
      <c r="B51" s="47" t="s">
        <v>81</v>
      </c>
      <c r="C51" s="37">
        <v>44898</v>
      </c>
      <c r="D51" s="43"/>
      <c r="E51" s="23">
        <v>450000</v>
      </c>
      <c r="F51" s="23"/>
      <c r="G51" s="23">
        <v>450000</v>
      </c>
      <c r="H51" s="23"/>
      <c r="I51" s="23">
        <f t="shared" si="0"/>
        <v>450000</v>
      </c>
      <c r="J51" s="23"/>
      <c r="K51" s="23"/>
      <c r="L51" s="23"/>
      <c r="M51" s="23"/>
      <c r="N51" s="23"/>
      <c r="O51" s="23"/>
      <c r="P51" s="23"/>
      <c r="Q51" s="40">
        <f>ROUND(I51-SUM(J51:O51),0)</f>
        <v>450000</v>
      </c>
      <c r="R51" s="19"/>
      <c r="S51" s="40">
        <v>450000</v>
      </c>
      <c r="T51" s="41" t="s">
        <v>82</v>
      </c>
      <c r="U51" s="26"/>
    </row>
    <row r="52" spans="1:78" s="8" customFormat="1" ht="85.5" x14ac:dyDescent="0.25">
      <c r="A52" s="27">
        <v>52830</v>
      </c>
      <c r="B52" s="36" t="s">
        <v>83</v>
      </c>
      <c r="C52" s="37">
        <v>44936</v>
      </c>
      <c r="D52" s="43">
        <v>6</v>
      </c>
      <c r="E52" s="23">
        <v>1047594</v>
      </c>
      <c r="F52" s="23">
        <v>17982</v>
      </c>
      <c r="G52" s="23">
        <f>E52-F52</f>
        <v>1029612</v>
      </c>
      <c r="H52" s="23">
        <f>G52*18%</f>
        <v>185330.16</v>
      </c>
      <c r="I52" s="23">
        <f t="shared" si="0"/>
        <v>1214942.1599999999</v>
      </c>
      <c r="J52" s="23">
        <f>ROUND(G52*$J$9,)</f>
        <v>0</v>
      </c>
      <c r="K52" s="23">
        <f>ROUND(G52*$K$9,)</f>
        <v>0</v>
      </c>
      <c r="L52" s="23">
        <f>ROUND(G52*10%,)</f>
        <v>102961</v>
      </c>
      <c r="M52" s="23">
        <f>ROUND(G52*$M$9,)</f>
        <v>0</v>
      </c>
      <c r="N52" s="39">
        <f>H52</f>
        <v>185330.16</v>
      </c>
      <c r="O52" s="23">
        <v>0</v>
      </c>
      <c r="P52" s="23"/>
      <c r="Q52" s="40">
        <f>I52-SUM(J52:N52)</f>
        <v>926650.99999999988</v>
      </c>
      <c r="R52" s="19"/>
      <c r="S52" s="40">
        <v>352396</v>
      </c>
      <c r="T52" s="41" t="s">
        <v>84</v>
      </c>
      <c r="U52" s="26"/>
    </row>
    <row r="53" spans="1:78" s="8" customFormat="1" ht="42.75" x14ac:dyDescent="0.25">
      <c r="A53" s="27">
        <v>52830</v>
      </c>
      <c r="B53" s="36" t="s">
        <v>71</v>
      </c>
      <c r="C53" s="21"/>
      <c r="D53" s="43">
        <v>6</v>
      </c>
      <c r="E53" s="23">
        <v>185330</v>
      </c>
      <c r="F53" s="23"/>
      <c r="G53" s="23">
        <f>E53-F53</f>
        <v>185330</v>
      </c>
      <c r="H53" s="23">
        <v>0</v>
      </c>
      <c r="I53" s="23">
        <f t="shared" si="0"/>
        <v>185330</v>
      </c>
      <c r="J53" s="23">
        <v>0</v>
      </c>
      <c r="K53" s="23">
        <v>0</v>
      </c>
      <c r="L53" s="23"/>
      <c r="M53" s="23"/>
      <c r="N53" s="23">
        <v>0</v>
      </c>
      <c r="O53" s="23"/>
      <c r="P53" s="23"/>
      <c r="Q53" s="39">
        <f>I53-SUM(J53:N53)</f>
        <v>185330</v>
      </c>
      <c r="R53" s="19"/>
      <c r="S53" s="40">
        <v>198000</v>
      </c>
      <c r="T53" s="41" t="s">
        <v>85</v>
      </c>
      <c r="U53" s="26"/>
    </row>
    <row r="54" spans="1:78" s="8" customFormat="1" ht="85.5" x14ac:dyDescent="0.25">
      <c r="A54" s="27">
        <v>52830</v>
      </c>
      <c r="B54" s="36" t="s">
        <v>86</v>
      </c>
      <c r="C54" s="37">
        <v>45146</v>
      </c>
      <c r="D54" s="38" t="s">
        <v>87</v>
      </c>
      <c r="E54" s="23">
        <v>600724.53</v>
      </c>
      <c r="F54" s="23">
        <v>77323</v>
      </c>
      <c r="G54" s="23">
        <f>E54-F54</f>
        <v>523401.53</v>
      </c>
      <c r="H54" s="23">
        <f>G54*18%</f>
        <v>94212.275399999999</v>
      </c>
      <c r="I54" s="48">
        <f t="shared" si="0"/>
        <v>617613.80540000007</v>
      </c>
      <c r="J54" s="23">
        <f>G54*1%</f>
        <v>5234.0153</v>
      </c>
      <c r="K54" s="23">
        <f>G54*5%</f>
        <v>26170.076500000003</v>
      </c>
      <c r="L54" s="23">
        <v>0</v>
      </c>
      <c r="M54" s="23">
        <v>0</v>
      </c>
      <c r="N54" s="39">
        <f>H54</f>
        <v>94212.275399999999</v>
      </c>
      <c r="O54" s="23">
        <v>43786</v>
      </c>
      <c r="P54" s="23">
        <v>64680</v>
      </c>
      <c r="Q54" s="40">
        <f>I54-SUM(J54:O54)</f>
        <v>448211.43820000009</v>
      </c>
      <c r="R54" s="19" t="s">
        <v>88</v>
      </c>
      <c r="S54" s="40">
        <v>495000</v>
      </c>
      <c r="T54" s="41" t="s">
        <v>89</v>
      </c>
      <c r="U54" s="26"/>
    </row>
    <row r="55" spans="1:78" s="8" customFormat="1" ht="85.5" x14ac:dyDescent="0.25">
      <c r="A55" s="27">
        <v>52830</v>
      </c>
      <c r="B55" s="36" t="s">
        <v>86</v>
      </c>
      <c r="C55" s="37">
        <v>45164</v>
      </c>
      <c r="D55" s="38" t="s">
        <v>90</v>
      </c>
      <c r="E55" s="23">
        <v>1119282.75</v>
      </c>
      <c r="F55" s="23">
        <v>885</v>
      </c>
      <c r="G55" s="23">
        <f>E55-F55</f>
        <v>1118397.75</v>
      </c>
      <c r="H55" s="23">
        <f>G55*18%</f>
        <v>201311.595</v>
      </c>
      <c r="I55" s="48">
        <f t="shared" si="0"/>
        <v>1319709.345</v>
      </c>
      <c r="J55" s="23">
        <f>G55*1%</f>
        <v>11183.977500000001</v>
      </c>
      <c r="K55" s="23">
        <f>G55*5%</f>
        <v>55919.887500000004</v>
      </c>
      <c r="L55" s="23">
        <v>0</v>
      </c>
      <c r="M55" s="23">
        <v>0</v>
      </c>
      <c r="N55" s="39">
        <f>H55</f>
        <v>201311.595</v>
      </c>
      <c r="O55" s="23">
        <v>109074</v>
      </c>
      <c r="P55" s="23">
        <v>223680</v>
      </c>
      <c r="Q55" s="40">
        <f>I55-SUM(J55:O55)</f>
        <v>942219.88500000001</v>
      </c>
      <c r="R55" s="19" t="s">
        <v>91</v>
      </c>
      <c r="S55" s="40">
        <v>49500</v>
      </c>
      <c r="T55" s="41" t="s">
        <v>92</v>
      </c>
      <c r="U55" s="26"/>
    </row>
    <row r="56" spans="1:78" s="8" customFormat="1" ht="42.75" x14ac:dyDescent="0.25">
      <c r="A56" s="27">
        <v>52830</v>
      </c>
      <c r="B56" s="36" t="s">
        <v>71</v>
      </c>
      <c r="C56" s="37"/>
      <c r="D56" s="38" t="s">
        <v>93</v>
      </c>
      <c r="E56" s="23">
        <f>N54+N55</f>
        <v>295523.87040000001</v>
      </c>
      <c r="F56" s="23"/>
      <c r="G56" s="23"/>
      <c r="H56" s="23"/>
      <c r="I56" s="48"/>
      <c r="J56" s="23"/>
      <c r="K56" s="23"/>
      <c r="L56" s="23"/>
      <c r="M56" s="23"/>
      <c r="N56" s="23"/>
      <c r="O56" s="49"/>
      <c r="P56" s="49"/>
      <c r="Q56" s="39">
        <f>E56</f>
        <v>295523.87040000001</v>
      </c>
      <c r="R56" s="19"/>
      <c r="S56" s="40">
        <v>19413</v>
      </c>
      <c r="T56" s="41" t="s">
        <v>94</v>
      </c>
      <c r="U56" s="26"/>
    </row>
    <row r="57" spans="1:78" s="8" customFormat="1" x14ac:dyDescent="0.25">
      <c r="A57" s="19"/>
      <c r="B57" s="20"/>
      <c r="C57" s="21"/>
      <c r="D57" s="22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0"/>
      <c r="P57" s="20"/>
      <c r="Q57" s="23"/>
      <c r="R57" s="19"/>
      <c r="S57" s="40">
        <v>185330</v>
      </c>
      <c r="T57" s="41" t="s">
        <v>95</v>
      </c>
      <c r="U57" s="26"/>
    </row>
    <row r="58" spans="1:78" s="8" customFormat="1" x14ac:dyDescent="0.25">
      <c r="A58" s="19"/>
      <c r="B58" s="20"/>
      <c r="C58" s="21"/>
      <c r="D58" s="22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0"/>
      <c r="P58" s="20"/>
      <c r="Q58" s="23"/>
      <c r="R58" s="19"/>
      <c r="S58" s="40">
        <v>198000</v>
      </c>
      <c r="T58" s="41" t="s">
        <v>96</v>
      </c>
      <c r="U58" s="26"/>
    </row>
    <row r="59" spans="1:78" s="8" customFormat="1" x14ac:dyDescent="0.25">
      <c r="A59" s="19"/>
      <c r="B59" s="20"/>
      <c r="C59" s="21"/>
      <c r="D59" s="22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0"/>
      <c r="P59" s="20"/>
      <c r="Q59" s="23"/>
      <c r="R59" s="19"/>
      <c r="S59" s="40">
        <v>250212</v>
      </c>
      <c r="T59" s="41" t="s">
        <v>97</v>
      </c>
      <c r="U59" s="26"/>
    </row>
    <row r="60" spans="1:78" s="8" customFormat="1" x14ac:dyDescent="0.25">
      <c r="A60" s="19"/>
      <c r="B60" s="20"/>
      <c r="C60" s="21"/>
      <c r="D60" s="22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0"/>
      <c r="P60" s="20"/>
      <c r="Q60" s="23"/>
      <c r="R60" s="19"/>
      <c r="S60" s="40">
        <v>942220</v>
      </c>
      <c r="T60" s="41" t="s">
        <v>98</v>
      </c>
      <c r="U60" s="26"/>
    </row>
    <row r="61" spans="1:78" s="8" customFormat="1" x14ac:dyDescent="0.25">
      <c r="A61" s="19"/>
      <c r="B61" s="20"/>
      <c r="C61" s="21"/>
      <c r="D61" s="22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0"/>
      <c r="P61" s="20"/>
      <c r="Q61" s="23"/>
      <c r="R61" s="19"/>
      <c r="S61" s="40">
        <v>24750</v>
      </c>
      <c r="T61" s="41" t="s">
        <v>99</v>
      </c>
      <c r="U61" s="26"/>
    </row>
    <row r="62" spans="1:78" s="8" customFormat="1" x14ac:dyDescent="0.25">
      <c r="A62" s="19"/>
      <c r="B62" s="20"/>
      <c r="C62" s="21"/>
      <c r="D62" s="22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0"/>
      <c r="P62" s="20"/>
      <c r="Q62" s="23"/>
      <c r="R62" s="19"/>
      <c r="S62" s="23">
        <v>295524</v>
      </c>
      <c r="T62" s="41" t="s">
        <v>100</v>
      </c>
      <c r="U62" s="26"/>
    </row>
    <row r="63" spans="1:78" s="8" customFormat="1" x14ac:dyDescent="0.25">
      <c r="A63" s="19"/>
      <c r="B63" s="20"/>
      <c r="C63" s="21"/>
      <c r="D63" s="22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0"/>
      <c r="P63" s="20"/>
      <c r="Q63" s="23"/>
      <c r="R63" s="19"/>
      <c r="S63" s="23">
        <v>99000</v>
      </c>
      <c r="T63" s="41" t="s">
        <v>101</v>
      </c>
      <c r="U63" s="26"/>
    </row>
    <row r="64" spans="1:78" s="35" customFormat="1" x14ac:dyDescent="0.25">
      <c r="A64" s="27">
        <v>53075</v>
      </c>
      <c r="B64" s="28"/>
      <c r="C64" s="29"/>
      <c r="D64" s="30"/>
      <c r="E64" s="31"/>
      <c r="F64" s="31"/>
      <c r="G64" s="31"/>
      <c r="H64" s="32"/>
      <c r="I64" s="31"/>
      <c r="J64" s="32"/>
      <c r="K64" s="32"/>
      <c r="L64" s="32"/>
      <c r="M64" s="32"/>
      <c r="N64" s="32"/>
      <c r="O64" s="33"/>
      <c r="P64" s="33"/>
      <c r="Q64" s="31"/>
      <c r="R64" s="27">
        <v>53075</v>
      </c>
      <c r="S64" s="31"/>
      <c r="T64" s="31"/>
      <c r="U64" s="44">
        <f>SUM(Q49:Q63,0)-SUM(S49:S63,0)</f>
        <v>452118.19360000081</v>
      </c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</row>
    <row r="65" spans="1:78" s="8" customFormat="1" ht="114" x14ac:dyDescent="0.25">
      <c r="A65" s="27">
        <v>53075</v>
      </c>
      <c r="B65" s="36" t="s">
        <v>102</v>
      </c>
      <c r="C65" s="37">
        <v>44919</v>
      </c>
      <c r="D65" s="43">
        <v>3</v>
      </c>
      <c r="E65" s="23">
        <v>817552</v>
      </c>
      <c r="F65" s="23">
        <v>80919</v>
      </c>
      <c r="G65" s="23">
        <v>736633</v>
      </c>
      <c r="H65" s="23">
        <v>132594</v>
      </c>
      <c r="I65" s="23">
        <v>869227</v>
      </c>
      <c r="J65" s="23">
        <v>7366.33</v>
      </c>
      <c r="K65" s="23">
        <v>36831.65</v>
      </c>
      <c r="L65" s="23">
        <v>73663.3</v>
      </c>
      <c r="M65" s="23">
        <v>73663.3</v>
      </c>
      <c r="N65" s="39">
        <v>132594</v>
      </c>
      <c r="O65" s="23">
        <v>216163</v>
      </c>
      <c r="P65" s="23"/>
      <c r="Q65" s="40">
        <v>328945</v>
      </c>
      <c r="R65" s="19"/>
      <c r="S65" s="40">
        <v>148500</v>
      </c>
      <c r="T65" s="41" t="s">
        <v>103</v>
      </c>
      <c r="U65" s="26"/>
    </row>
    <row r="66" spans="1:78" s="8" customFormat="1" ht="42.75" x14ac:dyDescent="0.25">
      <c r="A66" s="27">
        <v>53075</v>
      </c>
      <c r="B66" s="36" t="s">
        <v>71</v>
      </c>
      <c r="C66" s="37">
        <v>44942</v>
      </c>
      <c r="D66" s="43">
        <v>3</v>
      </c>
      <c r="E66" s="23">
        <v>132594</v>
      </c>
      <c r="F66" s="23">
        <v>0</v>
      </c>
      <c r="G66" s="23">
        <v>132594</v>
      </c>
      <c r="H66" s="23">
        <v>0</v>
      </c>
      <c r="I66" s="23">
        <v>132594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/>
      <c r="Q66" s="39">
        <v>132594</v>
      </c>
      <c r="R66" s="19"/>
      <c r="S66" s="40">
        <v>180446</v>
      </c>
      <c r="T66" s="41" t="s">
        <v>104</v>
      </c>
      <c r="U66" s="26"/>
    </row>
    <row r="67" spans="1:78" s="8" customFormat="1" ht="85.5" x14ac:dyDescent="0.25">
      <c r="A67" s="27">
        <v>53075</v>
      </c>
      <c r="B67" s="36" t="s">
        <v>105</v>
      </c>
      <c r="C67" s="37">
        <v>45026</v>
      </c>
      <c r="D67" s="43">
        <v>2</v>
      </c>
      <c r="E67" s="23">
        <v>461312.48</v>
      </c>
      <c r="F67" s="23">
        <v>0</v>
      </c>
      <c r="G67" s="23">
        <v>461312.48</v>
      </c>
      <c r="H67" s="23">
        <v>83036</v>
      </c>
      <c r="I67" s="23">
        <v>544348.48</v>
      </c>
      <c r="J67" s="23">
        <v>4613.1247999999996</v>
      </c>
      <c r="K67" s="23">
        <v>23065.624</v>
      </c>
      <c r="L67" s="23">
        <v>23065.624</v>
      </c>
      <c r="M67" s="23">
        <v>46131.248</v>
      </c>
      <c r="N67" s="39">
        <v>83036</v>
      </c>
      <c r="O67" s="23">
        <v>33987</v>
      </c>
      <c r="P67" s="23"/>
      <c r="Q67" s="40">
        <v>330450</v>
      </c>
      <c r="R67" s="19"/>
      <c r="S67" s="40">
        <v>132594</v>
      </c>
      <c r="T67" s="41" t="s">
        <v>106</v>
      </c>
      <c r="U67" s="26"/>
    </row>
    <row r="68" spans="1:78" s="8" customFormat="1" ht="42.75" x14ac:dyDescent="0.25">
      <c r="A68" s="27">
        <v>53075</v>
      </c>
      <c r="B68" s="36" t="s">
        <v>71</v>
      </c>
      <c r="C68" s="37">
        <v>45069</v>
      </c>
      <c r="D68" s="43">
        <v>2</v>
      </c>
      <c r="E68" s="23">
        <v>83036</v>
      </c>
      <c r="F68" s="23"/>
      <c r="G68" s="23">
        <v>83036</v>
      </c>
      <c r="H68" s="23">
        <v>0</v>
      </c>
      <c r="I68" s="23">
        <v>83036</v>
      </c>
      <c r="J68" s="23">
        <v>0</v>
      </c>
      <c r="K68" s="23">
        <v>0</v>
      </c>
      <c r="L68" s="23"/>
      <c r="M68" s="23"/>
      <c r="N68" s="23">
        <v>0</v>
      </c>
      <c r="O68" s="23"/>
      <c r="P68" s="23"/>
      <c r="Q68" s="39">
        <v>83036</v>
      </c>
      <c r="R68" s="19"/>
      <c r="S68" s="40">
        <v>198000</v>
      </c>
      <c r="T68" s="41" t="s">
        <v>107</v>
      </c>
      <c r="U68" s="26"/>
    </row>
    <row r="69" spans="1:78" s="8" customFormat="1" ht="85.5" x14ac:dyDescent="0.25">
      <c r="A69" s="27">
        <v>53075</v>
      </c>
      <c r="B69" s="36" t="s">
        <v>105</v>
      </c>
      <c r="C69" s="37">
        <v>45157</v>
      </c>
      <c r="D69" s="43" t="s">
        <v>108</v>
      </c>
      <c r="E69" s="23">
        <v>694130</v>
      </c>
      <c r="F69" s="23"/>
      <c r="G69" s="23">
        <f>E69-F69</f>
        <v>694130</v>
      </c>
      <c r="H69" s="23">
        <f>G69*18%</f>
        <v>124943.4</v>
      </c>
      <c r="I69" s="23">
        <f>G69+H69</f>
        <v>819073.4</v>
      </c>
      <c r="J69" s="23">
        <f>G69*1%</f>
        <v>6941.3</v>
      </c>
      <c r="K69" s="23">
        <f>5%*G69</f>
        <v>34706.5</v>
      </c>
      <c r="L69" s="23">
        <f>5%*G69</f>
        <v>34706.5</v>
      </c>
      <c r="M69" s="23">
        <f>10%*G69</f>
        <v>69413</v>
      </c>
      <c r="N69" s="39">
        <f>H69</f>
        <v>124943.4</v>
      </c>
      <c r="O69" s="20">
        <v>70108</v>
      </c>
      <c r="P69" s="20">
        <v>89326</v>
      </c>
      <c r="Q69" s="40">
        <f>G69-J69-K69-L69-O69-M69</f>
        <v>478254.69999999995</v>
      </c>
      <c r="R69" s="19" t="s">
        <v>109</v>
      </c>
      <c r="S69" s="40">
        <v>99000</v>
      </c>
      <c r="T69" s="41" t="s">
        <v>110</v>
      </c>
      <c r="U69" s="26"/>
    </row>
    <row r="70" spans="1:78" s="8" customFormat="1" ht="42.75" x14ac:dyDescent="0.25">
      <c r="A70" s="27">
        <v>53075</v>
      </c>
      <c r="B70" s="36" t="s">
        <v>71</v>
      </c>
      <c r="C70" s="37"/>
      <c r="D70" s="43" t="s">
        <v>108</v>
      </c>
      <c r="E70" s="23">
        <f>N69</f>
        <v>124943.4</v>
      </c>
      <c r="F70" s="23"/>
      <c r="G70" s="23"/>
      <c r="H70" s="23"/>
      <c r="I70" s="23"/>
      <c r="J70" s="23">
        <v>0</v>
      </c>
      <c r="K70" s="23">
        <v>0</v>
      </c>
      <c r="L70" s="23"/>
      <c r="M70" s="23"/>
      <c r="N70" s="23">
        <v>0</v>
      </c>
      <c r="O70" s="23"/>
      <c r="P70" s="23"/>
      <c r="Q70" s="39">
        <f>E70</f>
        <v>124943.4</v>
      </c>
      <c r="R70" s="19"/>
      <c r="S70" s="40">
        <v>148500</v>
      </c>
      <c r="T70" s="41" t="s">
        <v>111</v>
      </c>
      <c r="U70" s="26"/>
    </row>
    <row r="71" spans="1:78" s="8" customFormat="1" x14ac:dyDescent="0.25">
      <c r="A71" s="19"/>
      <c r="B71" s="20"/>
      <c r="C71" s="21"/>
      <c r="D71" s="22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0"/>
      <c r="P71" s="20"/>
      <c r="Q71" s="23"/>
      <c r="R71" s="19"/>
      <c r="S71" s="40">
        <v>83036</v>
      </c>
      <c r="T71" s="41" t="s">
        <v>112</v>
      </c>
      <c r="U71" s="26"/>
    </row>
    <row r="72" spans="1:78" s="8" customFormat="1" x14ac:dyDescent="0.25">
      <c r="A72" s="19"/>
      <c r="B72" s="20"/>
      <c r="C72" s="21"/>
      <c r="D72" s="22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0"/>
      <c r="P72" s="20">
        <v>49500</v>
      </c>
      <c r="Q72" s="23"/>
      <c r="R72" s="19" t="s">
        <v>113</v>
      </c>
      <c r="S72" s="40">
        <v>198000</v>
      </c>
      <c r="T72" s="41" t="s">
        <v>114</v>
      </c>
      <c r="U72" s="26"/>
    </row>
    <row r="73" spans="1:78" s="8" customFormat="1" x14ac:dyDescent="0.25">
      <c r="A73" s="19"/>
      <c r="B73" s="20"/>
      <c r="C73" s="21"/>
      <c r="D73" s="22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0"/>
      <c r="P73" s="20"/>
      <c r="Q73" s="23"/>
      <c r="R73" s="19"/>
      <c r="S73" s="40">
        <v>297000</v>
      </c>
      <c r="T73" s="41" t="s">
        <v>115</v>
      </c>
      <c r="U73" s="26"/>
    </row>
    <row r="74" spans="1:78" s="8" customFormat="1" x14ac:dyDescent="0.25">
      <c r="A74" s="19"/>
      <c r="B74" s="20"/>
      <c r="C74" s="21"/>
      <c r="D74" s="22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0"/>
      <c r="P74" s="20"/>
      <c r="Q74" s="23"/>
      <c r="R74" s="19"/>
      <c r="S74" s="40">
        <v>99000</v>
      </c>
      <c r="T74" s="41" t="s">
        <v>116</v>
      </c>
      <c r="U74" s="26"/>
    </row>
    <row r="75" spans="1:78" s="8" customFormat="1" x14ac:dyDescent="0.15">
      <c r="A75" s="19"/>
      <c r="B75" s="20"/>
      <c r="C75" s="21"/>
      <c r="D75" s="22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0"/>
      <c r="P75" s="20"/>
      <c r="Q75" s="23"/>
      <c r="R75" s="19"/>
      <c r="S75" s="40">
        <v>297000</v>
      </c>
      <c r="T75" s="41" t="s">
        <v>117</v>
      </c>
      <c r="U75" s="26"/>
      <c r="Y75" s="50"/>
    </row>
    <row r="76" spans="1:78" s="35" customFormat="1" x14ac:dyDescent="0.15">
      <c r="A76" s="27">
        <v>55800</v>
      </c>
      <c r="B76" s="28"/>
      <c r="C76" s="29"/>
      <c r="D76" s="30"/>
      <c r="E76" s="31"/>
      <c r="F76" s="31"/>
      <c r="G76" s="31"/>
      <c r="H76" s="32"/>
      <c r="I76" s="31"/>
      <c r="J76" s="32"/>
      <c r="K76" s="32"/>
      <c r="L76" s="32"/>
      <c r="M76" s="32"/>
      <c r="N76" s="32"/>
      <c r="O76" s="33"/>
      <c r="P76" s="33"/>
      <c r="Q76" s="31"/>
      <c r="R76" s="27">
        <v>55800</v>
      </c>
      <c r="S76" s="31"/>
      <c r="T76" s="31"/>
      <c r="U76" s="44">
        <f>SUM(Q65:Q75,0)-SUM(S65:S75,0)</f>
        <v>-402852.90000000014</v>
      </c>
      <c r="V76" s="8"/>
      <c r="W76" s="8"/>
      <c r="X76" s="8"/>
      <c r="Y76" s="51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</row>
    <row r="77" spans="1:78" s="8" customFormat="1" ht="85.5" x14ac:dyDescent="0.15">
      <c r="A77" s="27">
        <v>55800</v>
      </c>
      <c r="B77" s="36" t="s">
        <v>118</v>
      </c>
      <c r="C77" s="37">
        <v>45078</v>
      </c>
      <c r="D77" s="38">
        <v>7</v>
      </c>
      <c r="E77" s="23">
        <v>989955.27</v>
      </c>
      <c r="F77" s="23">
        <v>0</v>
      </c>
      <c r="G77" s="23">
        <f>ROUND(E77-F77,)</f>
        <v>989955</v>
      </c>
      <c r="H77" s="23">
        <f>G77*18%</f>
        <v>178191.9</v>
      </c>
      <c r="I77" s="23">
        <f>G77+H77</f>
        <v>1168146.8999999999</v>
      </c>
      <c r="J77" s="23">
        <f>ROUND(G77*$J$9,)</f>
        <v>0</v>
      </c>
      <c r="K77" s="23">
        <f>ROUND(G77*$K$9,)</f>
        <v>0</v>
      </c>
      <c r="L77" s="23">
        <f>ROUND(G77*$L$9,)</f>
        <v>0</v>
      </c>
      <c r="M77" s="23">
        <f>ROUND(G77*$M$9,)</f>
        <v>0</v>
      </c>
      <c r="N77" s="39">
        <f>H77</f>
        <v>178191.9</v>
      </c>
      <c r="O77" s="23">
        <v>136068.82</v>
      </c>
      <c r="P77" s="23"/>
      <c r="Q77" s="40">
        <f>ROUND(I77-SUM(J77:O77),0)</f>
        <v>853886</v>
      </c>
      <c r="R77" s="19"/>
      <c r="S77" s="40">
        <v>198000</v>
      </c>
      <c r="T77" s="23" t="s">
        <v>119</v>
      </c>
      <c r="U77" s="26"/>
      <c r="Y77" s="51"/>
    </row>
    <row r="78" spans="1:78" s="8" customFormat="1" ht="85.5" x14ac:dyDescent="0.25">
      <c r="A78" s="27">
        <v>55800</v>
      </c>
      <c r="B78" s="36" t="s">
        <v>118</v>
      </c>
      <c r="C78" s="37">
        <v>45157</v>
      </c>
      <c r="D78" s="43" t="s">
        <v>120</v>
      </c>
      <c r="E78" s="23">
        <v>223424</v>
      </c>
      <c r="F78" s="23">
        <f>158400+(194*20)</f>
        <v>162280</v>
      </c>
      <c r="G78" s="23">
        <f>E78-F78</f>
        <v>61144</v>
      </c>
      <c r="H78" s="23">
        <f>G78*18%</f>
        <v>11005.92</v>
      </c>
      <c r="I78" s="23">
        <f>G78+H78</f>
        <v>72149.919999999998</v>
      </c>
      <c r="J78" s="23">
        <f>ROUND(G78*$J$9,)</f>
        <v>0</v>
      </c>
      <c r="K78" s="23">
        <f>ROUND(G78*$K$9,)</f>
        <v>0</v>
      </c>
      <c r="L78" s="23">
        <f>ROUND(G78*$L$9,)</f>
        <v>0</v>
      </c>
      <c r="M78" s="23">
        <f>ROUND(G78*$M$9,)</f>
        <v>0</v>
      </c>
      <c r="N78" s="39">
        <f>H78</f>
        <v>11005.92</v>
      </c>
      <c r="O78" s="23">
        <v>0</v>
      </c>
      <c r="P78" s="23">
        <v>12229</v>
      </c>
      <c r="Q78" s="40">
        <f>ROUND(I78-SUM(J78:O78),0)</f>
        <v>61144</v>
      </c>
      <c r="R78" s="19" t="s">
        <v>121</v>
      </c>
      <c r="S78" s="40">
        <v>447994</v>
      </c>
      <c r="T78" s="41" t="s">
        <v>122</v>
      </c>
      <c r="U78" s="26"/>
    </row>
    <row r="79" spans="1:78" s="8" customFormat="1" ht="42.75" x14ac:dyDescent="0.25">
      <c r="A79" s="27">
        <v>55800</v>
      </c>
      <c r="B79" s="20" t="s">
        <v>53</v>
      </c>
      <c r="C79" s="21"/>
      <c r="D79" s="22">
        <v>7</v>
      </c>
      <c r="E79" s="23">
        <f>N77</f>
        <v>178191.9</v>
      </c>
      <c r="F79" s="23"/>
      <c r="G79" s="23"/>
      <c r="H79" s="23"/>
      <c r="I79" s="23"/>
      <c r="J79" s="23"/>
      <c r="K79" s="23"/>
      <c r="L79" s="23"/>
      <c r="M79" s="23"/>
      <c r="N79" s="23"/>
      <c r="O79" s="20"/>
      <c r="P79" s="20"/>
      <c r="Q79" s="39">
        <f>E79</f>
        <v>178191.9</v>
      </c>
      <c r="R79" s="52"/>
      <c r="S79" s="40">
        <v>48305</v>
      </c>
      <c r="T79" s="41" t="s">
        <v>123</v>
      </c>
      <c r="U79" s="26"/>
    </row>
    <row r="80" spans="1:78" s="8" customFormat="1" ht="42.75" x14ac:dyDescent="0.25">
      <c r="A80" s="27">
        <v>55800</v>
      </c>
      <c r="B80" s="20" t="s">
        <v>53</v>
      </c>
      <c r="C80" s="21"/>
      <c r="D80" s="22" t="s">
        <v>120</v>
      </c>
      <c r="E80" s="23">
        <f>N78</f>
        <v>11005.92</v>
      </c>
      <c r="F80" s="23"/>
      <c r="G80" s="23"/>
      <c r="H80" s="23"/>
      <c r="I80" s="23"/>
      <c r="J80" s="23"/>
      <c r="K80" s="23"/>
      <c r="L80" s="23"/>
      <c r="M80" s="23"/>
      <c r="N80" s="23"/>
      <c r="O80" s="20"/>
      <c r="P80" s="20"/>
      <c r="Q80" s="39">
        <f>E80</f>
        <v>11005.92</v>
      </c>
      <c r="R80" s="52"/>
      <c r="S80" s="40">
        <v>178192</v>
      </c>
      <c r="T80" s="41" t="s">
        <v>124</v>
      </c>
      <c r="U80" s="26"/>
    </row>
    <row r="81" spans="1:78" s="8" customFormat="1" ht="85.5" x14ac:dyDescent="0.25">
      <c r="A81" s="27">
        <v>55800</v>
      </c>
      <c r="B81" s="36" t="s">
        <v>118</v>
      </c>
      <c r="C81" s="37">
        <v>45580</v>
      </c>
      <c r="D81" s="43">
        <v>8</v>
      </c>
      <c r="E81" s="23">
        <v>176276</v>
      </c>
      <c r="F81" s="23">
        <v>0</v>
      </c>
      <c r="G81" s="23">
        <f>E81-F81</f>
        <v>176276</v>
      </c>
      <c r="H81" s="23">
        <f>G81*18%</f>
        <v>31729.68</v>
      </c>
      <c r="I81" s="23">
        <f>G81+H81</f>
        <v>208005.68</v>
      </c>
      <c r="J81" s="23">
        <f>ROUND(G81*$J$9,)</f>
        <v>0</v>
      </c>
      <c r="K81" s="23">
        <f>ROUND(G81*$K$9,)</f>
        <v>0</v>
      </c>
      <c r="L81" s="23">
        <f>G81*10%</f>
        <v>17627.600000000002</v>
      </c>
      <c r="M81" s="23">
        <f>ROUND(G81*$M$9,)</f>
        <v>0</v>
      </c>
      <c r="N81" s="39">
        <f>H81</f>
        <v>31729.68</v>
      </c>
      <c r="O81" s="23">
        <v>0</v>
      </c>
      <c r="P81" s="23">
        <v>0</v>
      </c>
      <c r="Q81" s="40">
        <f>ROUND(I81-SUM(J81:O81),0)</f>
        <v>158648</v>
      </c>
      <c r="R81" s="52"/>
      <c r="S81" s="23">
        <v>49500</v>
      </c>
      <c r="T81" s="41" t="s">
        <v>125</v>
      </c>
      <c r="U81" s="26"/>
    </row>
    <row r="82" spans="1:78" s="35" customFormat="1" x14ac:dyDescent="0.25">
      <c r="A82" s="27">
        <v>59119</v>
      </c>
      <c r="B82" s="28"/>
      <c r="C82" s="29"/>
      <c r="D82" s="30"/>
      <c r="E82" s="31"/>
      <c r="F82" s="31"/>
      <c r="G82" s="31"/>
      <c r="H82" s="32"/>
      <c r="I82" s="31"/>
      <c r="J82" s="32"/>
      <c r="K82" s="32"/>
      <c r="L82" s="32"/>
      <c r="M82" s="32"/>
      <c r="N82" s="32"/>
      <c r="O82" s="33"/>
      <c r="P82" s="33"/>
      <c r="Q82" s="31"/>
      <c r="R82" s="27">
        <v>59119</v>
      </c>
      <c r="S82" s="31"/>
      <c r="T82" s="31"/>
      <c r="U82" s="44">
        <f>SUM(Q77:Q81,0)-SUM(S77:S81,0)</f>
        <v>340884.81999999983</v>
      </c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</row>
    <row r="83" spans="1:78" s="8" customFormat="1" ht="71.25" x14ac:dyDescent="0.25">
      <c r="A83" s="27">
        <v>59119</v>
      </c>
      <c r="B83" s="36" t="s">
        <v>126</v>
      </c>
      <c r="C83" s="37">
        <v>45167</v>
      </c>
      <c r="D83" s="38" t="s">
        <v>127</v>
      </c>
      <c r="E83" s="23">
        <v>670996</v>
      </c>
      <c r="F83" s="23">
        <v>0</v>
      </c>
      <c r="G83" s="23">
        <f>ROUND(E83-F83,)</f>
        <v>670996</v>
      </c>
      <c r="H83" s="23">
        <f>G83*18%</f>
        <v>120779.28</v>
      </c>
      <c r="I83" s="23">
        <f>G83+H83</f>
        <v>791775.28</v>
      </c>
      <c r="J83" s="23">
        <f>ROUND(G83*$J$9,)</f>
        <v>0</v>
      </c>
      <c r="K83" s="23">
        <f>ROUND(G83*$K$9,)</f>
        <v>0</v>
      </c>
      <c r="L83" s="23">
        <f>ROUND(G83*$L$9,)</f>
        <v>0</v>
      </c>
      <c r="M83" s="23">
        <f>ROUND(G83*$M$9,)</f>
        <v>0</v>
      </c>
      <c r="N83" s="39">
        <f>H83</f>
        <v>120779.28</v>
      </c>
      <c r="O83" s="23">
        <v>0</v>
      </c>
      <c r="P83" s="23">
        <v>134199</v>
      </c>
      <c r="Q83" s="40">
        <f>ROUND(I83-SUM(J83:O83),0)</f>
        <v>670996</v>
      </c>
      <c r="R83" s="52" t="s">
        <v>128</v>
      </c>
      <c r="S83" s="40">
        <v>530086</v>
      </c>
      <c r="T83" s="41" t="s">
        <v>129</v>
      </c>
      <c r="U83" s="26" t="s">
        <v>130</v>
      </c>
    </row>
    <row r="84" spans="1:78" s="8" customFormat="1" ht="71.25" x14ac:dyDescent="0.25">
      <c r="A84" s="27">
        <v>59119</v>
      </c>
      <c r="B84" s="36" t="s">
        <v>126</v>
      </c>
      <c r="C84" s="37">
        <v>45310</v>
      </c>
      <c r="D84" s="38">
        <v>24</v>
      </c>
      <c r="E84" s="23">
        <v>460940</v>
      </c>
      <c r="F84" s="23"/>
      <c r="G84" s="23">
        <f>ROUND(E84-F84,)</f>
        <v>460940</v>
      </c>
      <c r="H84" s="23">
        <f>G84*18%</f>
        <v>82969.2</v>
      </c>
      <c r="I84" s="23">
        <f>G84+H84</f>
        <v>543909.19999999995</v>
      </c>
      <c r="J84" s="23">
        <f>ROUND(G84*$J$9,)</f>
        <v>0</v>
      </c>
      <c r="K84" s="23">
        <f>ROUND(G84*$K$9,)</f>
        <v>0</v>
      </c>
      <c r="L84" s="23">
        <f>ROUND(G84*$L$9,)</f>
        <v>0</v>
      </c>
      <c r="M84" s="23">
        <f>ROUND(G84*$M$9,)</f>
        <v>0</v>
      </c>
      <c r="N84" s="39">
        <f>H84</f>
        <v>82969.2</v>
      </c>
      <c r="O84" s="23">
        <v>100150</v>
      </c>
      <c r="P84" s="23"/>
      <c r="Q84" s="40">
        <f>ROUND(I84-SUM(J84:O84),0)</f>
        <v>360790</v>
      </c>
      <c r="R84" s="52"/>
      <c r="S84" s="40">
        <v>148500</v>
      </c>
      <c r="T84" s="41" t="s">
        <v>131</v>
      </c>
      <c r="U84" s="26"/>
    </row>
    <row r="85" spans="1:78" s="8" customFormat="1" x14ac:dyDescent="0.25">
      <c r="A85" s="27">
        <v>59119</v>
      </c>
      <c r="B85" s="36" t="s">
        <v>132</v>
      </c>
      <c r="C85" s="37"/>
      <c r="D85" s="38" t="s">
        <v>127</v>
      </c>
      <c r="E85" s="23">
        <f>N83</f>
        <v>120779.28</v>
      </c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39">
        <f>E85</f>
        <v>120779.28</v>
      </c>
      <c r="R85" s="52"/>
      <c r="S85" s="40">
        <v>247500</v>
      </c>
      <c r="T85" s="41" t="s">
        <v>133</v>
      </c>
      <c r="U85" s="26"/>
    </row>
    <row r="86" spans="1:78" s="8" customFormat="1" x14ac:dyDescent="0.25">
      <c r="A86" s="27">
        <v>59119</v>
      </c>
      <c r="B86" s="36" t="s">
        <v>132</v>
      </c>
      <c r="C86" s="37"/>
      <c r="D86" s="38">
        <v>24</v>
      </c>
      <c r="E86" s="23">
        <f>N84</f>
        <v>82969.2</v>
      </c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39">
        <f>E86</f>
        <v>82969.2</v>
      </c>
      <c r="R86" s="52"/>
      <c r="S86" s="40">
        <v>99000</v>
      </c>
      <c r="T86" s="41" t="s">
        <v>134</v>
      </c>
      <c r="U86" s="26"/>
    </row>
    <row r="87" spans="1:78" s="8" customFormat="1" x14ac:dyDescent="0.25">
      <c r="A87" s="52"/>
      <c r="B87" s="36"/>
      <c r="C87" s="37"/>
      <c r="D87" s="38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52"/>
      <c r="S87" s="40">
        <v>82969</v>
      </c>
      <c r="T87" s="41" t="s">
        <v>135</v>
      </c>
      <c r="U87" s="26"/>
    </row>
    <row r="88" spans="1:78" s="35" customFormat="1" x14ac:dyDescent="0.25">
      <c r="A88" s="27">
        <v>59578</v>
      </c>
      <c r="B88" s="28"/>
      <c r="C88" s="29"/>
      <c r="D88" s="30"/>
      <c r="E88" s="31"/>
      <c r="F88" s="31"/>
      <c r="G88" s="31"/>
      <c r="H88" s="32"/>
      <c r="I88" s="31"/>
      <c r="J88" s="32"/>
      <c r="K88" s="32"/>
      <c r="L88" s="32"/>
      <c r="M88" s="32"/>
      <c r="N88" s="32"/>
      <c r="O88" s="33"/>
      <c r="P88" s="33"/>
      <c r="Q88" s="31"/>
      <c r="R88" s="27">
        <v>59578</v>
      </c>
      <c r="S88" s="31"/>
      <c r="T88" s="31"/>
      <c r="U88" s="44">
        <f>SUM(Q83:Q87,0)-SUM(S83:S87,0)</f>
        <v>127479.47999999998</v>
      </c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</row>
    <row r="89" spans="1:78" s="8" customFormat="1" ht="85.5" x14ac:dyDescent="0.25">
      <c r="A89" s="27">
        <v>59578</v>
      </c>
      <c r="B89" s="36" t="s">
        <v>136</v>
      </c>
      <c r="C89" s="37">
        <v>45192</v>
      </c>
      <c r="D89" s="38" t="s">
        <v>137</v>
      </c>
      <c r="E89" s="23">
        <f>2950000*15%</f>
        <v>442500</v>
      </c>
      <c r="F89" s="23">
        <v>0</v>
      </c>
      <c r="G89" s="23">
        <f>ROUND(E89-F89,)</f>
        <v>442500</v>
      </c>
      <c r="H89" s="23">
        <f>ROUND(G89*H6,0)</f>
        <v>79650</v>
      </c>
      <c r="I89" s="23">
        <f>G89+H89</f>
        <v>522150</v>
      </c>
      <c r="J89" s="23">
        <f>ROUND(G89*$J$9,)</f>
        <v>0</v>
      </c>
      <c r="K89" s="23">
        <f>ROUND(G89*$K$9,)</f>
        <v>0</v>
      </c>
      <c r="L89" s="23">
        <v>0</v>
      </c>
      <c r="M89" s="23">
        <v>0</v>
      </c>
      <c r="N89" s="39">
        <f>H89</f>
        <v>79650</v>
      </c>
      <c r="O89" s="23"/>
      <c r="P89" s="23">
        <v>86500</v>
      </c>
      <c r="Q89" s="40">
        <f>ROUND(I89-SUM(J89:O89),0)</f>
        <v>442500</v>
      </c>
      <c r="R89" s="19" t="s">
        <v>138</v>
      </c>
      <c r="S89" s="40">
        <v>217950</v>
      </c>
      <c r="T89" s="41" t="s">
        <v>139</v>
      </c>
      <c r="U89" s="26" t="s">
        <v>140</v>
      </c>
    </row>
    <row r="90" spans="1:78" s="8" customFormat="1" x14ac:dyDescent="0.25">
      <c r="A90" s="27">
        <v>59578</v>
      </c>
      <c r="B90" s="20" t="s">
        <v>132</v>
      </c>
      <c r="C90" s="21"/>
      <c r="D90" s="22">
        <v>15</v>
      </c>
      <c r="E90" s="23">
        <f>H89</f>
        <v>79650</v>
      </c>
      <c r="F90" s="23"/>
      <c r="G90" s="23"/>
      <c r="H90" s="23"/>
      <c r="I90" s="23"/>
      <c r="J90" s="23"/>
      <c r="K90" s="23"/>
      <c r="L90" s="23"/>
      <c r="M90" s="23"/>
      <c r="N90" s="23"/>
      <c r="O90" s="20"/>
      <c r="P90" s="20"/>
      <c r="Q90" s="39">
        <f>N89</f>
        <v>79650</v>
      </c>
      <c r="R90" s="52"/>
      <c r="S90" s="23">
        <v>49500</v>
      </c>
      <c r="T90" s="46" t="s">
        <v>141</v>
      </c>
      <c r="U90" s="26"/>
    </row>
    <row r="91" spans="1:78" s="8" customFormat="1" x14ac:dyDescent="0.25">
      <c r="A91" s="52"/>
      <c r="B91" s="20"/>
      <c r="C91" s="21"/>
      <c r="D91" s="22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0"/>
      <c r="P91" s="20"/>
      <c r="Q91" s="53"/>
      <c r="R91" s="52"/>
      <c r="S91" s="23">
        <v>247500</v>
      </c>
      <c r="T91" s="46" t="s">
        <v>142</v>
      </c>
      <c r="U91" s="26"/>
    </row>
    <row r="92" spans="1:78" s="8" customFormat="1" x14ac:dyDescent="0.25">
      <c r="A92" s="52"/>
      <c r="B92" s="20"/>
      <c r="C92" s="21"/>
      <c r="D92" s="22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0"/>
      <c r="P92" s="20"/>
      <c r="Q92" s="53"/>
      <c r="R92" s="52"/>
      <c r="S92" s="23"/>
      <c r="T92" s="46"/>
      <c r="U92" s="26"/>
    </row>
    <row r="93" spans="1:78" s="35" customFormat="1" x14ac:dyDescent="0.25">
      <c r="A93" s="27">
        <v>59709</v>
      </c>
      <c r="B93" s="28"/>
      <c r="C93" s="29"/>
      <c r="D93" s="30"/>
      <c r="E93" s="31"/>
      <c r="F93" s="31"/>
      <c r="G93" s="31"/>
      <c r="H93" s="32"/>
      <c r="I93" s="31"/>
      <c r="J93" s="32"/>
      <c r="K93" s="32"/>
      <c r="L93" s="32"/>
      <c r="M93" s="32"/>
      <c r="N93" s="32"/>
      <c r="O93" s="33"/>
      <c r="P93" s="33"/>
      <c r="Q93" s="31"/>
      <c r="R93" s="27">
        <v>59709</v>
      </c>
      <c r="S93" s="31"/>
      <c r="T93" s="31"/>
      <c r="U93" s="44">
        <f>SUM(Q89:Q90,0)-SUM(S89:S92,0)</f>
        <v>7200</v>
      </c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</row>
    <row r="94" spans="1:78" s="59" customFormat="1" ht="75" x14ac:dyDescent="0.25">
      <c r="A94" s="27">
        <v>59709</v>
      </c>
      <c r="B94" s="54" t="s">
        <v>143</v>
      </c>
      <c r="C94" s="55">
        <v>45208</v>
      </c>
      <c r="D94" s="56" t="s">
        <v>144</v>
      </c>
      <c r="E94" s="48">
        <v>986968.4</v>
      </c>
      <c r="F94" s="48">
        <f>17151.2+(386*20)</f>
        <v>24871.200000000001</v>
      </c>
      <c r="G94" s="48">
        <f>E94-F94</f>
        <v>962097.20000000007</v>
      </c>
      <c r="H94" s="23">
        <f>G94*18%</f>
        <v>173177.49600000001</v>
      </c>
      <c r="I94" s="48">
        <f>G94+H94</f>
        <v>1135274.696</v>
      </c>
      <c r="J94" s="48">
        <f>G94*$J$9</f>
        <v>0</v>
      </c>
      <c r="K94" s="48">
        <f>G94*$K$9</f>
        <v>0</v>
      </c>
      <c r="L94" s="48">
        <f>G94*$L$9</f>
        <v>0</v>
      </c>
      <c r="M94" s="48">
        <f>G94*$M$9</f>
        <v>0</v>
      </c>
      <c r="N94" s="57">
        <f>H94</f>
        <v>173177.49600000001</v>
      </c>
      <c r="O94" s="48">
        <v>178264</v>
      </c>
      <c r="P94" s="48">
        <v>192419</v>
      </c>
      <c r="Q94" s="58">
        <f>ROUND(I94-SUM(J94:O94),0)</f>
        <v>783833</v>
      </c>
      <c r="R94" s="19" t="s">
        <v>145</v>
      </c>
      <c r="S94" s="40">
        <v>581792</v>
      </c>
      <c r="T94" s="41" t="s">
        <v>146</v>
      </c>
      <c r="U94" s="41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</row>
    <row r="95" spans="1:78" s="59" customFormat="1" x14ac:dyDescent="0.25">
      <c r="A95" s="27">
        <v>59709</v>
      </c>
      <c r="B95" s="60" t="s">
        <v>132</v>
      </c>
      <c r="C95" s="61"/>
      <c r="D95" s="56" t="s">
        <v>144</v>
      </c>
      <c r="E95" s="62">
        <f>N94</f>
        <v>173177.49600000001</v>
      </c>
      <c r="F95" s="62"/>
      <c r="G95" s="62"/>
      <c r="H95" s="62"/>
      <c r="I95" s="62"/>
      <c r="J95" s="62"/>
      <c r="K95" s="62"/>
      <c r="L95" s="62"/>
      <c r="M95" s="62"/>
      <c r="N95" s="62"/>
      <c r="O95" s="60"/>
      <c r="P95" s="60"/>
      <c r="Q95" s="39">
        <f>E95</f>
        <v>173177.49600000001</v>
      </c>
      <c r="R95" s="63"/>
      <c r="S95" s="40">
        <v>99000</v>
      </c>
      <c r="T95" s="41" t="s">
        <v>147</v>
      </c>
      <c r="U95" s="41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</row>
    <row r="96" spans="1:78" s="59" customFormat="1" x14ac:dyDescent="0.25">
      <c r="A96" s="63"/>
      <c r="B96" s="60"/>
      <c r="C96" s="61"/>
      <c r="D96" s="64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0"/>
      <c r="P96" s="60"/>
      <c r="Q96" s="62"/>
      <c r="R96" s="63"/>
      <c r="S96" s="40">
        <v>297000</v>
      </c>
      <c r="T96" s="41" t="s">
        <v>148</v>
      </c>
      <c r="U96" s="41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</row>
    <row r="97" spans="1:78" s="59" customFormat="1" x14ac:dyDescent="0.25">
      <c r="A97" s="63"/>
      <c r="B97" s="60"/>
      <c r="C97" s="61"/>
      <c r="D97" s="64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0"/>
      <c r="P97" s="60"/>
      <c r="Q97" s="62"/>
      <c r="R97" s="63"/>
      <c r="S97" s="40">
        <v>173177</v>
      </c>
      <c r="T97" s="41" t="s">
        <v>149</v>
      </c>
      <c r="U97" s="41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</row>
    <row r="98" spans="1:78" s="59" customFormat="1" x14ac:dyDescent="0.25">
      <c r="A98" s="63"/>
      <c r="B98" s="60"/>
      <c r="C98" s="61"/>
      <c r="D98" s="64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0"/>
      <c r="P98" s="60"/>
      <c r="Q98" s="62"/>
      <c r="R98" s="63"/>
      <c r="S98" s="41">
        <v>99000</v>
      </c>
      <c r="T98" s="41" t="s">
        <v>150</v>
      </c>
      <c r="U98" s="41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</row>
    <row r="99" spans="1:78" s="59" customFormat="1" x14ac:dyDescent="0.15">
      <c r="A99" s="63"/>
      <c r="B99" s="60"/>
      <c r="C99" s="61"/>
      <c r="D99" s="64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0"/>
      <c r="P99" s="60"/>
      <c r="Q99" s="62"/>
      <c r="R99" s="63"/>
      <c r="S99" s="23"/>
      <c r="T99" s="65"/>
      <c r="U99" s="41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</row>
    <row r="100" spans="1:78" s="35" customFormat="1" x14ac:dyDescent="0.25">
      <c r="A100" s="27">
        <v>59864</v>
      </c>
      <c r="B100" s="28"/>
      <c r="C100" s="29"/>
      <c r="D100" s="30"/>
      <c r="E100" s="31"/>
      <c r="F100" s="31"/>
      <c r="G100" s="31"/>
      <c r="H100" s="32"/>
      <c r="I100" s="31"/>
      <c r="J100" s="32"/>
      <c r="K100" s="32"/>
      <c r="L100" s="32"/>
      <c r="M100" s="32"/>
      <c r="N100" s="32"/>
      <c r="O100" s="33"/>
      <c r="P100" s="33"/>
      <c r="Q100" s="31"/>
      <c r="R100" s="27">
        <v>59864</v>
      </c>
      <c r="S100" s="31"/>
      <c r="T100" s="31"/>
      <c r="U100" s="44">
        <f>SUM(Q94:Q99,0)-SUM(S94:S99,0)</f>
        <v>-292958.50399999996</v>
      </c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</row>
    <row r="101" spans="1:78" s="8" customFormat="1" ht="90" x14ac:dyDescent="0.25">
      <c r="A101" s="27">
        <v>59864</v>
      </c>
      <c r="B101" s="54" t="s">
        <v>151</v>
      </c>
      <c r="C101" s="55">
        <v>45210</v>
      </c>
      <c r="D101" s="56" t="s">
        <v>152</v>
      </c>
      <c r="E101" s="48">
        <v>1100033</v>
      </c>
      <c r="F101" s="48">
        <f>49451+71928+137082+(339*20)</f>
        <v>265241</v>
      </c>
      <c r="G101" s="48">
        <f>E101-F101</f>
        <v>834792</v>
      </c>
      <c r="H101" s="23">
        <f t="shared" ref="H101:H102" si="1">G101*18%</f>
        <v>150262.56</v>
      </c>
      <c r="I101" s="48">
        <f>G101+H101</f>
        <v>985054.56</v>
      </c>
      <c r="J101" s="48">
        <f>G101*$J$9</f>
        <v>0</v>
      </c>
      <c r="K101" s="48">
        <f>G101*$K$9</f>
        <v>0</v>
      </c>
      <c r="L101" s="48">
        <f>G101*$L$9</f>
        <v>0</v>
      </c>
      <c r="M101" s="48">
        <f>G101*$M$9</f>
        <v>0</v>
      </c>
      <c r="N101" s="57">
        <f>H101</f>
        <v>150262.56</v>
      </c>
      <c r="O101" s="48">
        <v>58144</v>
      </c>
      <c r="P101" s="48">
        <v>166958</v>
      </c>
      <c r="Q101" s="58">
        <f>ROUND(I101-SUM(J101:O101),0)</f>
        <v>776648</v>
      </c>
      <c r="R101" s="19" t="s">
        <v>153</v>
      </c>
      <c r="S101" s="40">
        <v>601341</v>
      </c>
      <c r="T101" s="41" t="s">
        <v>154</v>
      </c>
      <c r="U101" s="26"/>
    </row>
    <row r="102" spans="1:78" s="8" customFormat="1" ht="90" x14ac:dyDescent="0.25">
      <c r="A102" s="27">
        <v>59864</v>
      </c>
      <c r="B102" s="54" t="s">
        <v>151</v>
      </c>
      <c r="C102" s="55">
        <v>45297</v>
      </c>
      <c r="D102" s="56" t="s">
        <v>155</v>
      </c>
      <c r="E102" s="48">
        <v>388928</v>
      </c>
      <c r="F102" s="48"/>
      <c r="G102" s="48">
        <f>E102-F102</f>
        <v>388928</v>
      </c>
      <c r="H102" s="23">
        <f t="shared" si="1"/>
        <v>70007.039999999994</v>
      </c>
      <c r="I102" s="48">
        <f>G102+H102</f>
        <v>458935.03999999998</v>
      </c>
      <c r="J102" s="48">
        <f>G102*$J$9</f>
        <v>0</v>
      </c>
      <c r="K102" s="48">
        <f>G102*$K$9</f>
        <v>0</v>
      </c>
      <c r="L102" s="48">
        <f>G102*10%</f>
        <v>38892.800000000003</v>
      </c>
      <c r="M102" s="48">
        <f>G102*$M$9</f>
        <v>0</v>
      </c>
      <c r="N102" s="57">
        <f>H102</f>
        <v>70007.039999999994</v>
      </c>
      <c r="O102" s="48">
        <v>35597</v>
      </c>
      <c r="P102" s="48"/>
      <c r="Q102" s="58">
        <f>ROUND(I102-SUM(J102:O102),0)</f>
        <v>314438</v>
      </c>
      <c r="R102" s="19"/>
      <c r="S102" s="40">
        <v>148500</v>
      </c>
      <c r="T102" s="41" t="s">
        <v>156</v>
      </c>
      <c r="U102" s="26"/>
    </row>
    <row r="103" spans="1:78" s="8" customFormat="1" x14ac:dyDescent="0.25">
      <c r="A103" s="27">
        <v>59864</v>
      </c>
      <c r="B103" s="60" t="s">
        <v>132</v>
      </c>
      <c r="C103" s="61"/>
      <c r="D103" s="56" t="s">
        <v>155</v>
      </c>
      <c r="E103" s="62">
        <f>N101+N102</f>
        <v>220269.59999999998</v>
      </c>
      <c r="F103" s="62"/>
      <c r="G103" s="62"/>
      <c r="H103" s="62"/>
      <c r="I103" s="62"/>
      <c r="J103" s="62"/>
      <c r="K103" s="62"/>
      <c r="L103" s="62"/>
      <c r="M103" s="62"/>
      <c r="N103" s="62"/>
      <c r="O103" s="60"/>
      <c r="P103" s="60"/>
      <c r="Q103" s="39">
        <f>E103</f>
        <v>220269.59999999998</v>
      </c>
      <c r="R103" s="19"/>
      <c r="S103" s="40">
        <v>165371</v>
      </c>
      <c r="T103" s="41" t="s">
        <v>157</v>
      </c>
      <c r="U103" s="26"/>
    </row>
    <row r="104" spans="1:78" s="8" customFormat="1" ht="90" x14ac:dyDescent="0.25">
      <c r="A104" s="27">
        <v>59864</v>
      </c>
      <c r="B104" s="54" t="s">
        <v>151</v>
      </c>
      <c r="C104" s="61" t="s">
        <v>158</v>
      </c>
      <c r="D104" s="56" t="s">
        <v>159</v>
      </c>
      <c r="E104" s="62">
        <v>158400</v>
      </c>
      <c r="F104" s="62"/>
      <c r="G104" s="48">
        <f>E104-F104</f>
        <v>158400</v>
      </c>
      <c r="H104" s="23">
        <f t="shared" ref="H104" si="2">G104*18%</f>
        <v>28512</v>
      </c>
      <c r="I104" s="48">
        <f>G104+H104</f>
        <v>186912</v>
      </c>
      <c r="J104" s="48">
        <f>G104*$J$9</f>
        <v>0</v>
      </c>
      <c r="K104" s="48">
        <f>G104*$K$9</f>
        <v>0</v>
      </c>
      <c r="L104" s="48">
        <f>G104*10%</f>
        <v>15840</v>
      </c>
      <c r="M104" s="48">
        <f>G104*$M$9</f>
        <v>0</v>
      </c>
      <c r="N104" s="48">
        <f>H104</f>
        <v>28512</v>
      </c>
      <c r="O104" s="48"/>
      <c r="P104" s="48"/>
      <c r="Q104" s="58">
        <f>ROUND(I104-SUM(J104:O104),0)</f>
        <v>142560</v>
      </c>
      <c r="R104" s="19"/>
      <c r="S104" s="40">
        <v>148500</v>
      </c>
      <c r="T104" s="41" t="s">
        <v>160</v>
      </c>
      <c r="U104" s="26"/>
    </row>
    <row r="105" spans="1:78" s="8" customFormat="1" x14ac:dyDescent="0.25">
      <c r="A105" s="19"/>
      <c r="B105" s="54"/>
      <c r="C105" s="61"/>
      <c r="D105" s="56"/>
      <c r="E105" s="62"/>
      <c r="F105" s="62"/>
      <c r="G105" s="48"/>
      <c r="H105" s="23"/>
      <c r="I105" s="48"/>
      <c r="J105" s="48"/>
      <c r="K105" s="48"/>
      <c r="L105" s="48"/>
      <c r="M105" s="48"/>
      <c r="N105" s="48"/>
      <c r="O105" s="48"/>
      <c r="P105" s="48"/>
      <c r="Q105" s="48"/>
      <c r="R105" s="19"/>
      <c r="S105" s="23">
        <v>99000</v>
      </c>
      <c r="T105" s="41" t="s">
        <v>161</v>
      </c>
      <c r="U105" s="26"/>
    </row>
    <row r="106" spans="1:78" s="8" customFormat="1" x14ac:dyDescent="0.25">
      <c r="A106" s="19"/>
      <c r="B106" s="54"/>
      <c r="C106" s="61"/>
      <c r="D106" s="56"/>
      <c r="E106" s="62"/>
      <c r="F106" s="62"/>
      <c r="G106" s="48"/>
      <c r="H106" s="23"/>
      <c r="I106" s="48"/>
      <c r="J106" s="48"/>
      <c r="K106" s="48"/>
      <c r="L106" s="48"/>
      <c r="M106" s="48"/>
      <c r="N106" s="48"/>
      <c r="O106" s="48"/>
      <c r="P106" s="48"/>
      <c r="Q106" s="48"/>
      <c r="R106" s="19"/>
      <c r="S106" s="23">
        <v>99000</v>
      </c>
      <c r="T106" s="41" t="s">
        <v>162</v>
      </c>
      <c r="U106" s="26"/>
    </row>
    <row r="107" spans="1:78" s="35" customFormat="1" x14ac:dyDescent="0.25">
      <c r="A107" s="27">
        <v>60067</v>
      </c>
      <c r="B107" s="28"/>
      <c r="C107" s="29"/>
      <c r="D107" s="30"/>
      <c r="E107" s="31"/>
      <c r="F107" s="31"/>
      <c r="G107" s="31"/>
      <c r="H107" s="32"/>
      <c r="I107" s="31"/>
      <c r="J107" s="32"/>
      <c r="K107" s="32"/>
      <c r="L107" s="32"/>
      <c r="M107" s="32"/>
      <c r="N107" s="32"/>
      <c r="O107" s="33"/>
      <c r="P107" s="33"/>
      <c r="Q107" s="31"/>
      <c r="R107" s="27">
        <v>60067</v>
      </c>
      <c r="S107" s="31"/>
      <c r="T107" s="31"/>
      <c r="U107" s="44">
        <f>SUM(Q101:Q106,0)-SUM(S101:S106,0)</f>
        <v>192203.60000000009</v>
      </c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</row>
    <row r="108" spans="1:78" s="8" customFormat="1" ht="185.25" x14ac:dyDescent="0.25">
      <c r="A108" s="27">
        <v>60067</v>
      </c>
      <c r="B108" s="20" t="s">
        <v>163</v>
      </c>
      <c r="C108" s="21">
        <v>45236</v>
      </c>
      <c r="D108" s="56" t="s">
        <v>164</v>
      </c>
      <c r="E108" s="23">
        <v>1043683</v>
      </c>
      <c r="F108" s="23">
        <f>1440+77322</f>
        <v>78762</v>
      </c>
      <c r="G108" s="48">
        <f>E108-F108</f>
        <v>964921</v>
      </c>
      <c r="H108" s="23">
        <f t="shared" ref="H108" si="3">G108*18%</f>
        <v>173685.78</v>
      </c>
      <c r="I108" s="48">
        <f>G108+H108</f>
        <v>1138606.78</v>
      </c>
      <c r="J108" s="48">
        <f>G108*$J$9</f>
        <v>0</v>
      </c>
      <c r="K108" s="48">
        <f>G108*$K$9</f>
        <v>0</v>
      </c>
      <c r="L108" s="48">
        <f>G108*10%</f>
        <v>96492.1</v>
      </c>
      <c r="M108" s="48">
        <f>G108*10%</f>
        <v>96492.1</v>
      </c>
      <c r="N108" s="57">
        <f>H108</f>
        <v>173685.78</v>
      </c>
      <c r="O108" s="48"/>
      <c r="P108" s="48"/>
      <c r="Q108" s="58">
        <f>ROUND(I108-SUM(J108:O108),0)</f>
        <v>771937</v>
      </c>
      <c r="R108" s="19"/>
      <c r="S108" s="40">
        <v>346500</v>
      </c>
      <c r="T108" s="41" t="s">
        <v>165</v>
      </c>
      <c r="U108" s="26"/>
    </row>
    <row r="109" spans="1:78" s="8" customFormat="1" x14ac:dyDescent="0.25">
      <c r="A109" s="27">
        <v>60067</v>
      </c>
      <c r="B109" s="20" t="s">
        <v>132</v>
      </c>
      <c r="C109" s="21"/>
      <c r="D109" s="22" t="s">
        <v>166</v>
      </c>
      <c r="E109" s="23">
        <f>N108</f>
        <v>173685.78</v>
      </c>
      <c r="F109" s="23"/>
      <c r="G109" s="23"/>
      <c r="H109" s="23"/>
      <c r="I109" s="23"/>
      <c r="J109" s="23"/>
      <c r="K109" s="23"/>
      <c r="L109" s="23"/>
      <c r="M109" s="23"/>
      <c r="N109" s="23"/>
      <c r="O109" s="20"/>
      <c r="P109" s="20"/>
      <c r="Q109" s="39">
        <f>E109</f>
        <v>173685.78</v>
      </c>
      <c r="R109" s="19"/>
      <c r="S109" s="40">
        <v>367541</v>
      </c>
      <c r="T109" s="66" t="s">
        <v>167</v>
      </c>
      <c r="U109" s="26"/>
    </row>
    <row r="110" spans="1:78" s="8" customFormat="1" x14ac:dyDescent="0.25">
      <c r="A110" s="19"/>
      <c r="B110" s="20"/>
      <c r="C110" s="21"/>
      <c r="D110" s="22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0"/>
      <c r="P110" s="20"/>
      <c r="Q110" s="23"/>
      <c r="R110" s="19"/>
      <c r="S110" s="40">
        <v>173686</v>
      </c>
      <c r="T110" s="66" t="s">
        <v>168</v>
      </c>
      <c r="U110" s="26"/>
    </row>
    <row r="111" spans="1:78" s="8" customFormat="1" x14ac:dyDescent="0.25">
      <c r="A111" s="19"/>
      <c r="B111" s="20"/>
      <c r="C111" s="21"/>
      <c r="D111" s="22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0"/>
      <c r="P111" s="20"/>
      <c r="Q111" s="23"/>
      <c r="R111" s="19"/>
      <c r="S111" s="62"/>
      <c r="T111" s="66"/>
      <c r="U111" s="26"/>
    </row>
    <row r="112" spans="1:78" s="35" customFormat="1" x14ac:dyDescent="0.25">
      <c r="A112" s="27">
        <v>60069</v>
      </c>
      <c r="B112" s="28"/>
      <c r="C112" s="29"/>
      <c r="D112" s="30"/>
      <c r="E112" s="31"/>
      <c r="F112" s="31"/>
      <c r="G112" s="31"/>
      <c r="H112" s="32"/>
      <c r="I112" s="31"/>
      <c r="J112" s="32"/>
      <c r="K112" s="32"/>
      <c r="L112" s="32"/>
      <c r="M112" s="32"/>
      <c r="N112" s="32"/>
      <c r="O112" s="33"/>
      <c r="P112" s="33"/>
      <c r="Q112" s="31"/>
      <c r="R112" s="27">
        <v>60069</v>
      </c>
      <c r="S112" s="31"/>
      <c r="T112" s="31"/>
      <c r="U112" s="44">
        <f>SUM(Q108:Q111,0)-SUM(S108:S111,0)</f>
        <v>57895.780000000028</v>
      </c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</row>
    <row r="113" spans="1:78" s="8" customFormat="1" ht="142.5" x14ac:dyDescent="0.25">
      <c r="A113" s="27">
        <v>60069</v>
      </c>
      <c r="B113" s="20" t="s">
        <v>169</v>
      </c>
      <c r="C113" s="21">
        <v>45236</v>
      </c>
      <c r="D113" s="56" t="s">
        <v>170</v>
      </c>
      <c r="E113" s="23">
        <v>747459</v>
      </c>
      <c r="F113" s="23">
        <v>4060</v>
      </c>
      <c r="G113" s="48">
        <f>E113-F113</f>
        <v>743399</v>
      </c>
      <c r="H113" s="23">
        <f t="shared" ref="H113" si="4">G113*18%</f>
        <v>133811.82</v>
      </c>
      <c r="I113" s="48">
        <f>G113+H113</f>
        <v>877210.82000000007</v>
      </c>
      <c r="J113" s="48">
        <f>G113*$J$9</f>
        <v>0</v>
      </c>
      <c r="K113" s="48">
        <f>G113*$K$9</f>
        <v>0</v>
      </c>
      <c r="L113" s="48">
        <f>G113*10%</f>
        <v>74339.900000000009</v>
      </c>
      <c r="M113" s="48">
        <f>G113*10%</f>
        <v>74339.900000000009</v>
      </c>
      <c r="N113" s="57">
        <f>H113</f>
        <v>133811.82</v>
      </c>
      <c r="O113" s="48">
        <v>15444</v>
      </c>
      <c r="P113" s="48"/>
      <c r="Q113" s="58">
        <f>ROUND(I113-SUM(J113:O113),0)</f>
        <v>579275</v>
      </c>
      <c r="R113" s="19"/>
      <c r="S113" s="40">
        <v>247500</v>
      </c>
      <c r="T113" s="41" t="s">
        <v>171</v>
      </c>
      <c r="U113" s="26"/>
    </row>
    <row r="114" spans="1:78" s="8" customFormat="1" x14ac:dyDescent="0.25">
      <c r="A114" s="27">
        <v>60069</v>
      </c>
      <c r="B114" s="20" t="s">
        <v>132</v>
      </c>
      <c r="C114" s="21"/>
      <c r="D114" s="56" t="s">
        <v>170</v>
      </c>
      <c r="E114" s="23">
        <f>N113</f>
        <v>133811.82</v>
      </c>
      <c r="F114" s="23"/>
      <c r="G114" s="23"/>
      <c r="H114" s="23"/>
      <c r="I114" s="23"/>
      <c r="J114" s="23"/>
      <c r="K114" s="23"/>
      <c r="L114" s="23"/>
      <c r="M114" s="23"/>
      <c r="N114" s="23"/>
      <c r="O114" s="20"/>
      <c r="P114" s="20"/>
      <c r="Q114" s="39">
        <f>E114</f>
        <v>133811.82</v>
      </c>
      <c r="R114" s="52"/>
      <c r="S114" s="40">
        <v>287171</v>
      </c>
      <c r="T114" s="66" t="s">
        <v>172</v>
      </c>
      <c r="U114" s="26"/>
    </row>
    <row r="115" spans="1:78" s="8" customFormat="1" ht="114" x14ac:dyDescent="0.25">
      <c r="A115" s="27">
        <v>60069</v>
      </c>
      <c r="B115" s="20" t="s">
        <v>173</v>
      </c>
      <c r="C115" s="21">
        <v>45334</v>
      </c>
      <c r="D115" s="22">
        <v>25</v>
      </c>
      <c r="E115" s="23">
        <v>809672</v>
      </c>
      <c r="F115" s="23">
        <f>284125+8120</f>
        <v>292245</v>
      </c>
      <c r="G115" s="48">
        <f>E115-F115</f>
        <v>517427</v>
      </c>
      <c r="H115" s="23">
        <f t="shared" ref="H115" si="5">G115*18%</f>
        <v>93136.86</v>
      </c>
      <c r="I115" s="48">
        <f>G115+H115</f>
        <v>610563.86</v>
      </c>
      <c r="J115" s="48">
        <f>G115*$J$9</f>
        <v>0</v>
      </c>
      <c r="K115" s="48">
        <f>G115*$K$9</f>
        <v>0</v>
      </c>
      <c r="L115" s="48">
        <f>G115*10%</f>
        <v>51742.700000000004</v>
      </c>
      <c r="M115" s="48">
        <f>G115*10%</f>
        <v>51742.700000000004</v>
      </c>
      <c r="N115" s="57">
        <f>H115</f>
        <v>93136.86</v>
      </c>
      <c r="O115" s="48">
        <v>148246</v>
      </c>
      <c r="P115" s="48"/>
      <c r="Q115" s="58">
        <f>ROUND(I115-SUM(J115:O115),0)</f>
        <v>265696</v>
      </c>
      <c r="R115" s="52"/>
      <c r="S115" s="40">
        <v>234650</v>
      </c>
      <c r="T115" s="41" t="s">
        <v>174</v>
      </c>
      <c r="U115" s="26"/>
    </row>
    <row r="116" spans="1:78" s="8" customFormat="1" x14ac:dyDescent="0.25">
      <c r="A116" s="27">
        <v>60069</v>
      </c>
      <c r="B116" s="20" t="s">
        <v>132</v>
      </c>
      <c r="C116" s="21"/>
      <c r="D116" s="22">
        <v>25</v>
      </c>
      <c r="E116" s="23">
        <f>N115</f>
        <v>93136.86</v>
      </c>
      <c r="F116" s="23"/>
      <c r="G116" s="48"/>
      <c r="H116" s="23"/>
      <c r="I116" s="48"/>
      <c r="J116" s="48"/>
      <c r="K116" s="48"/>
      <c r="L116" s="48"/>
      <c r="M116" s="48"/>
      <c r="N116" s="48"/>
      <c r="O116" s="48"/>
      <c r="P116" s="48"/>
      <c r="Q116" s="57">
        <f>E116</f>
        <v>93136.86</v>
      </c>
      <c r="R116" s="52"/>
      <c r="S116" s="40">
        <v>133812</v>
      </c>
      <c r="T116" s="41" t="s">
        <v>175</v>
      </c>
      <c r="U116" s="26"/>
    </row>
    <row r="117" spans="1:78" s="8" customFormat="1" x14ac:dyDescent="0.25">
      <c r="A117" s="52"/>
      <c r="B117" s="20"/>
      <c r="C117" s="21"/>
      <c r="D117" s="22"/>
      <c r="E117" s="23"/>
      <c r="F117" s="23"/>
      <c r="G117" s="48"/>
      <c r="H117" s="23"/>
      <c r="I117" s="48"/>
      <c r="J117" s="48"/>
      <c r="K117" s="48"/>
      <c r="L117" s="48"/>
      <c r="M117" s="48"/>
      <c r="N117" s="48"/>
      <c r="O117" s="48"/>
      <c r="P117" s="48"/>
      <c r="Q117" s="48"/>
      <c r="R117" s="52"/>
      <c r="S117" s="23">
        <v>100000</v>
      </c>
      <c r="T117" s="66" t="s">
        <v>176</v>
      </c>
      <c r="U117" s="26"/>
    </row>
    <row r="118" spans="1:78" s="8" customFormat="1" x14ac:dyDescent="0.25">
      <c r="A118" s="52"/>
      <c r="B118" s="20"/>
      <c r="C118" s="21"/>
      <c r="D118" s="22"/>
      <c r="E118" s="23"/>
      <c r="F118" s="23"/>
      <c r="G118" s="48"/>
      <c r="H118" s="23"/>
      <c r="I118" s="48"/>
      <c r="J118" s="48"/>
      <c r="K118" s="48"/>
      <c r="L118" s="48"/>
      <c r="M118" s="48"/>
      <c r="N118" s="48"/>
      <c r="O118" s="48"/>
      <c r="P118" s="48"/>
      <c r="Q118" s="48"/>
      <c r="R118" s="52"/>
      <c r="S118" s="23">
        <v>99000</v>
      </c>
      <c r="T118" s="66" t="s">
        <v>177</v>
      </c>
      <c r="U118" s="26"/>
    </row>
    <row r="119" spans="1:78" s="35" customFormat="1" x14ac:dyDescent="0.25">
      <c r="A119" s="27">
        <v>60090</v>
      </c>
      <c r="B119" s="28"/>
      <c r="C119" s="29"/>
      <c r="D119" s="30"/>
      <c r="E119" s="31"/>
      <c r="F119" s="31"/>
      <c r="G119" s="31"/>
      <c r="H119" s="32"/>
      <c r="I119" s="31"/>
      <c r="J119" s="32"/>
      <c r="K119" s="32"/>
      <c r="L119" s="32"/>
      <c r="M119" s="32"/>
      <c r="N119" s="32"/>
      <c r="O119" s="33"/>
      <c r="P119" s="33"/>
      <c r="Q119" s="31"/>
      <c r="R119" s="27">
        <v>60090</v>
      </c>
      <c r="S119" s="31"/>
      <c r="T119" s="31"/>
      <c r="U119" s="44">
        <f>SUM(Q113:Q118,0)-SUM(S113:S118,0)</f>
        <v>-30213.319999999832</v>
      </c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</row>
    <row r="120" spans="1:78" s="8" customFormat="1" ht="128.25" x14ac:dyDescent="0.25">
      <c r="A120" s="27">
        <v>60090</v>
      </c>
      <c r="B120" s="20" t="s">
        <v>178</v>
      </c>
      <c r="C120" s="21">
        <v>37566</v>
      </c>
      <c r="D120" s="56" t="s">
        <v>179</v>
      </c>
      <c r="E120" s="23">
        <v>802210</v>
      </c>
      <c r="F120" s="23"/>
      <c r="G120" s="48">
        <f>E120-F120</f>
        <v>802210</v>
      </c>
      <c r="H120" s="23">
        <f t="shared" ref="H120" si="6">G120*18%</f>
        <v>144397.79999999999</v>
      </c>
      <c r="I120" s="48">
        <f>G120+H120</f>
        <v>946607.8</v>
      </c>
      <c r="J120" s="48">
        <f>G120*$J$9</f>
        <v>0</v>
      </c>
      <c r="K120" s="48">
        <f>G120*$K$9</f>
        <v>0</v>
      </c>
      <c r="L120" s="48">
        <f>G120*10%</f>
        <v>80221</v>
      </c>
      <c r="M120" s="48">
        <f>G120*10%</f>
        <v>80221</v>
      </c>
      <c r="N120" s="57">
        <f>H120</f>
        <v>144397.79999999999</v>
      </c>
      <c r="O120" s="48">
        <v>19725</v>
      </c>
      <c r="P120" s="48"/>
      <c r="Q120" s="58">
        <f>ROUND(I120-SUM(J120:O120),0)</f>
        <v>622043</v>
      </c>
      <c r="R120" s="19"/>
      <c r="S120" s="40">
        <v>297000</v>
      </c>
      <c r="T120" s="41" t="s">
        <v>180</v>
      </c>
      <c r="U120" s="26"/>
    </row>
    <row r="121" spans="1:78" s="8" customFormat="1" x14ac:dyDescent="0.25">
      <c r="A121" s="27">
        <v>60090</v>
      </c>
      <c r="B121" s="20" t="s">
        <v>132</v>
      </c>
      <c r="C121" s="21"/>
      <c r="D121" s="22" t="s">
        <v>179</v>
      </c>
      <c r="E121" s="23">
        <f>N120</f>
        <v>144397.79999999999</v>
      </c>
      <c r="F121" s="23"/>
      <c r="G121" s="23"/>
      <c r="H121" s="23"/>
      <c r="I121" s="23"/>
      <c r="J121" s="23"/>
      <c r="K121" s="23"/>
      <c r="L121" s="23"/>
      <c r="M121" s="23"/>
      <c r="N121" s="23"/>
      <c r="O121" s="52"/>
      <c r="P121" s="52"/>
      <c r="Q121" s="39">
        <f>E121</f>
        <v>144397.79999999999</v>
      </c>
      <c r="R121" s="52"/>
      <c r="S121" s="40">
        <v>200000</v>
      </c>
      <c r="T121" s="66" t="s">
        <v>181</v>
      </c>
      <c r="U121" s="26"/>
    </row>
    <row r="122" spans="1:78" s="8" customFormat="1" x14ac:dyDescent="0.25">
      <c r="A122" s="52"/>
      <c r="B122" s="20"/>
      <c r="C122" s="21"/>
      <c r="D122" s="22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52"/>
      <c r="P122" s="52"/>
      <c r="Q122" s="53"/>
      <c r="R122" s="52"/>
      <c r="S122" s="40">
        <v>144398</v>
      </c>
      <c r="T122" s="66" t="s">
        <v>182</v>
      </c>
      <c r="U122" s="44">
        <f>SUM(Q120:Q122,0)-SUM(S120:S123,0)</f>
        <v>75542.800000000047</v>
      </c>
    </row>
    <row r="123" spans="1:78" s="8" customFormat="1" x14ac:dyDescent="0.25">
      <c r="A123" s="52"/>
      <c r="B123" s="20"/>
      <c r="C123" s="21"/>
      <c r="D123" s="22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52"/>
      <c r="P123" s="52"/>
      <c r="Q123" s="53"/>
      <c r="R123" s="52"/>
      <c r="S123" s="62">
        <v>49500</v>
      </c>
      <c r="T123" s="66" t="s">
        <v>183</v>
      </c>
      <c r="U123" s="26"/>
    </row>
    <row r="124" spans="1:78" s="35" customFormat="1" x14ac:dyDescent="0.25">
      <c r="A124" s="27"/>
      <c r="B124" s="28"/>
      <c r="C124" s="29"/>
      <c r="D124" s="30"/>
      <c r="E124" s="31"/>
      <c r="F124" s="31"/>
      <c r="G124" s="31"/>
      <c r="H124" s="32"/>
      <c r="I124" s="31"/>
      <c r="J124" s="32"/>
      <c r="K124" s="32"/>
      <c r="L124" s="32"/>
      <c r="M124" s="32"/>
      <c r="N124" s="32"/>
      <c r="O124" s="33"/>
      <c r="P124" s="33"/>
      <c r="Q124" s="31"/>
      <c r="R124" s="27"/>
      <c r="S124" s="31"/>
      <c r="T124" s="31"/>
      <c r="U124" s="44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</row>
    <row r="125" spans="1:78" s="8" customFormat="1" x14ac:dyDescent="0.25">
      <c r="A125" s="52"/>
      <c r="B125" s="20"/>
      <c r="C125" s="21"/>
      <c r="D125" s="22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52"/>
      <c r="P125" s="52"/>
      <c r="Q125" s="53"/>
      <c r="R125" s="52"/>
      <c r="S125" s="62"/>
      <c r="T125" s="66"/>
      <c r="U125" s="26"/>
    </row>
    <row r="126" spans="1:78" s="8" customFormat="1" x14ac:dyDescent="0.25">
      <c r="A126" s="52"/>
      <c r="B126" s="20"/>
      <c r="C126" s="21"/>
      <c r="D126" s="22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52"/>
      <c r="P126" s="52"/>
      <c r="Q126" s="53"/>
      <c r="R126" s="52"/>
      <c r="S126" s="62"/>
      <c r="T126" s="66"/>
      <c r="U126" s="26"/>
    </row>
    <row r="127" spans="1:78" s="59" customFormat="1" x14ac:dyDescent="0.25">
      <c r="A127" s="63"/>
      <c r="B127" s="60"/>
      <c r="C127" s="61"/>
      <c r="D127" s="64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3"/>
      <c r="P127" s="63"/>
      <c r="Q127" s="62"/>
      <c r="R127" s="63"/>
      <c r="S127" s="62"/>
      <c r="T127" s="41"/>
      <c r="U127" s="66"/>
    </row>
    <row r="128" spans="1:78" s="59" customFormat="1" x14ac:dyDescent="0.25">
      <c r="A128" s="63"/>
      <c r="B128" s="60"/>
      <c r="C128" s="61"/>
      <c r="D128" s="64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3"/>
      <c r="P128" s="63"/>
      <c r="Q128" s="62"/>
      <c r="R128" s="63"/>
      <c r="S128" s="62"/>
      <c r="T128" s="41"/>
      <c r="U128" s="66"/>
    </row>
    <row r="129" spans="1:21" s="59" customFormat="1" ht="15.75" thickBot="1" x14ac:dyDescent="0.3">
      <c r="A129" s="67"/>
      <c r="B129" s="68"/>
      <c r="C129" s="69"/>
      <c r="D129" s="70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67"/>
      <c r="P129" s="67"/>
      <c r="Q129" s="71"/>
      <c r="R129" s="67"/>
      <c r="S129" s="71"/>
      <c r="T129" s="72"/>
      <c r="U129" s="73"/>
    </row>
    <row r="130" spans="1:21" s="8" customFormat="1" x14ac:dyDescent="0.25">
      <c r="A130" s="74"/>
      <c r="B130" s="75"/>
      <c r="C130" s="76"/>
      <c r="D130" s="77"/>
      <c r="E130" s="78"/>
      <c r="F130" s="78"/>
      <c r="G130" s="74">
        <f>+SUM(G8:G122)</f>
        <v>20153787.719999999</v>
      </c>
      <c r="H130" s="74">
        <f>+SUM(H8:H122)</f>
        <v>3379208.7663999987</v>
      </c>
      <c r="I130" s="74"/>
      <c r="J130" s="74">
        <f t="shared" ref="J130:P130" si="7">+SUM(J8:J122)</f>
        <v>63466.873600000006</v>
      </c>
      <c r="K130" s="74">
        <f t="shared" si="7"/>
        <v>317336.36800000002</v>
      </c>
      <c r="L130" s="74">
        <f t="shared" si="7"/>
        <v>883513.23399999994</v>
      </c>
      <c r="M130" s="74">
        <f t="shared" si="7"/>
        <v>773288.50800000003</v>
      </c>
      <c r="N130" s="74">
        <f t="shared" si="7"/>
        <v>3379208.7663999987</v>
      </c>
      <c r="O130" s="74">
        <f t="shared" si="7"/>
        <v>1821344.82</v>
      </c>
      <c r="P130" s="74">
        <f t="shared" si="7"/>
        <v>1321736</v>
      </c>
      <c r="Q130" s="74">
        <f>+SUM(Q8:Q122)</f>
        <v>18561262.6296</v>
      </c>
      <c r="R130" s="74"/>
      <c r="S130" s="74">
        <f>+SUM(S8:S129)</f>
        <v>18498649</v>
      </c>
      <c r="T130" s="74" t="s">
        <v>184</v>
      </c>
      <c r="U130" s="74">
        <f>+SUM(U8:U129)</f>
        <v>62613.629600001033</v>
      </c>
    </row>
    <row r="131" spans="1:21" s="8" customFormat="1" ht="15.75" thickBot="1" x14ac:dyDescent="0.3">
      <c r="A131" s="79"/>
      <c r="B131" s="80"/>
      <c r="C131" s="81"/>
      <c r="D131" s="82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0"/>
      <c r="P131" s="80"/>
      <c r="Q131" s="83"/>
      <c r="R131" s="79"/>
      <c r="S131" s="79">
        <f>+Q130-S130</f>
        <v>62613.629599999636</v>
      </c>
      <c r="T131" s="79" t="s">
        <v>185</v>
      </c>
      <c r="U131" s="8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2025-03-11T09:58:12Z</dcterms:created>
  <dcterms:modified xsi:type="dcterms:W3CDTF">2025-03-11T10:02:53Z</dcterms:modified>
</cp:coreProperties>
</file>