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Temp_Downloads\upload_excel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4" i="1" l="1"/>
  <c r="M54" i="1" s="1"/>
  <c r="K51" i="1"/>
  <c r="J51" i="1"/>
  <c r="G51" i="1"/>
  <c r="U48" i="1"/>
  <c r="R44" i="1"/>
  <c r="R43" i="1"/>
  <c r="N43" i="1"/>
  <c r="G43" i="1"/>
  <c r="J43" i="1" s="1"/>
  <c r="R42" i="1"/>
  <c r="S42" i="1" s="1"/>
  <c r="R41" i="1"/>
  <c r="S41" i="1" s="1"/>
  <c r="K41" i="1"/>
  <c r="G41" i="1"/>
  <c r="M41" i="1" s="1"/>
  <c r="R40" i="1"/>
  <c r="S40" i="1" s="1"/>
  <c r="R39" i="1"/>
  <c r="S39" i="1" s="1"/>
  <c r="G39" i="1"/>
  <c r="M39" i="1" s="1"/>
  <c r="R34" i="1"/>
  <c r="N33" i="1"/>
  <c r="M33" i="1"/>
  <c r="G33" i="1"/>
  <c r="L33" i="1" s="1"/>
  <c r="G31" i="1"/>
  <c r="M31" i="1" s="1"/>
  <c r="G29" i="1"/>
  <c r="M29" i="1" s="1"/>
  <c r="S28" i="1"/>
  <c r="S27" i="1"/>
  <c r="S26" i="1"/>
  <c r="G26" i="1"/>
  <c r="M26" i="1" s="1"/>
  <c r="R25" i="1"/>
  <c r="S25" i="1" s="1"/>
  <c r="S24" i="1"/>
  <c r="M24" i="1"/>
  <c r="G24" i="1"/>
  <c r="L24" i="1" s="1"/>
  <c r="R23" i="1"/>
  <c r="S23" i="1" s="1"/>
  <c r="G22" i="1"/>
  <c r="M22" i="1" s="1"/>
  <c r="R21" i="1"/>
  <c r="S21" i="1" s="1"/>
  <c r="G21" i="1"/>
  <c r="J21" i="1" s="1"/>
  <c r="S18" i="1"/>
  <c r="R17" i="1"/>
  <c r="S17" i="1" s="1"/>
  <c r="S16" i="1"/>
  <c r="N16" i="1"/>
  <c r="G16" i="1"/>
  <c r="L16" i="1" s="1"/>
  <c r="R15" i="1"/>
  <c r="S15" i="1" s="1"/>
  <c r="K15" i="1"/>
  <c r="G15" i="1"/>
  <c r="J15" i="1" s="1"/>
  <c r="R14" i="1"/>
  <c r="S14" i="1" s="1"/>
  <c r="R13" i="1"/>
  <c r="S13" i="1" s="1"/>
  <c r="G13" i="1"/>
  <c r="O13" i="1" s="1"/>
  <c r="E14" i="1" s="1"/>
  <c r="P14" i="1" s="1"/>
  <c r="S12" i="1"/>
  <c r="S11" i="1"/>
  <c r="O11" i="1"/>
  <c r="E12" i="1" s="1"/>
  <c r="P12" i="1" s="1"/>
  <c r="G11" i="1"/>
  <c r="K11" i="1" s="1"/>
  <c r="R10" i="1"/>
  <c r="S10" i="1" s="1"/>
  <c r="S9" i="1"/>
  <c r="G9" i="1"/>
  <c r="O9" i="1" s="1"/>
  <c r="R8" i="1"/>
  <c r="S8" i="1" s="1"/>
  <c r="S7" i="1"/>
  <c r="G7" i="1"/>
  <c r="H7" i="1" s="1"/>
  <c r="I7" i="1" s="1"/>
  <c r="J29" i="1" l="1"/>
  <c r="J26" i="1"/>
  <c r="K29" i="1"/>
  <c r="H43" i="1"/>
  <c r="O43" i="1" s="1"/>
  <c r="E44" i="1" s="1"/>
  <c r="P44" i="1" s="1"/>
  <c r="L9" i="1"/>
  <c r="O16" i="1"/>
  <c r="E18" i="1" s="1"/>
  <c r="P18" i="1" s="1"/>
  <c r="L29" i="1"/>
  <c r="K43" i="1"/>
  <c r="P43" i="1" s="1"/>
  <c r="L26" i="1"/>
  <c r="K9" i="1"/>
  <c r="M16" i="1"/>
  <c r="K26" i="1"/>
  <c r="L11" i="1"/>
  <c r="L43" i="1"/>
  <c r="M11" i="1"/>
  <c r="J24" i="1"/>
  <c r="J41" i="1"/>
  <c r="M43" i="1"/>
  <c r="E10" i="1"/>
  <c r="P10" i="1"/>
  <c r="J7" i="1"/>
  <c r="H31" i="1"/>
  <c r="I31" i="1" s="1"/>
  <c r="H39" i="1"/>
  <c r="O39" i="1" s="1"/>
  <c r="E40" i="1" s="1"/>
  <c r="P40" i="1" s="1"/>
  <c r="K7" i="1"/>
  <c r="H13" i="1"/>
  <c r="I13" i="1" s="1"/>
  <c r="L15" i="1"/>
  <c r="K21" i="1"/>
  <c r="J31" i="1"/>
  <c r="J39" i="1"/>
  <c r="L7" i="1"/>
  <c r="J9" i="1"/>
  <c r="M15" i="1"/>
  <c r="L21" i="1"/>
  <c r="H24" i="1"/>
  <c r="K39" i="1"/>
  <c r="H54" i="1"/>
  <c r="O54" i="1" s="1"/>
  <c r="O15" i="1"/>
  <c r="E17" i="1" s="1"/>
  <c r="P17" i="1" s="1"/>
  <c r="M21" i="1"/>
  <c r="J54" i="1"/>
  <c r="K54" i="1"/>
  <c r="K24" i="1"/>
  <c r="I43" i="1"/>
  <c r="L54" i="1"/>
  <c r="M7" i="1"/>
  <c r="O7" i="1"/>
  <c r="M9" i="1"/>
  <c r="H15" i="1"/>
  <c r="I15" i="1" s="1"/>
  <c r="H22" i="1"/>
  <c r="O22" i="1" s="1"/>
  <c r="E25" i="1" s="1"/>
  <c r="P25" i="1" s="1"/>
  <c r="H41" i="1"/>
  <c r="O41" i="1" s="1"/>
  <c r="E42" i="1" s="1"/>
  <c r="P42" i="1" s="1"/>
  <c r="I41" i="1"/>
  <c r="H16" i="1"/>
  <c r="I16" i="1" s="1"/>
  <c r="H33" i="1"/>
  <c r="L13" i="1"/>
  <c r="J16" i="1"/>
  <c r="H21" i="1"/>
  <c r="O21" i="1" s="1"/>
  <c r="E23" i="1" s="1"/>
  <c r="P23" i="1" s="1"/>
  <c r="L22" i="1"/>
  <c r="L31" i="1"/>
  <c r="J13" i="1"/>
  <c r="J22" i="1"/>
  <c r="H11" i="1"/>
  <c r="I11" i="1" s="1"/>
  <c r="K13" i="1"/>
  <c r="K22" i="1"/>
  <c r="K31" i="1"/>
  <c r="L39" i="1"/>
  <c r="L41" i="1"/>
  <c r="H9" i="1"/>
  <c r="I9" i="1" s="1"/>
  <c r="J11" i="1"/>
  <c r="M13" i="1"/>
  <c r="K16" i="1"/>
  <c r="H26" i="1"/>
  <c r="O26" i="1" s="1"/>
  <c r="E28" i="1" s="1"/>
  <c r="P28" i="1" s="1"/>
  <c r="H29" i="1"/>
  <c r="O29" i="1" s="1"/>
  <c r="E30" i="1" s="1"/>
  <c r="P30" i="1" s="1"/>
  <c r="J33" i="1"/>
  <c r="K33" i="1"/>
  <c r="H51" i="1"/>
  <c r="O51" i="1" s="1"/>
  <c r="E52" i="1" s="1"/>
  <c r="P52" i="1" s="1"/>
  <c r="P7" i="1" l="1"/>
  <c r="P15" i="1"/>
  <c r="I54" i="1"/>
  <c r="I51" i="1"/>
  <c r="P51" i="1" s="1"/>
  <c r="U51" i="1" s="1"/>
  <c r="P54" i="1"/>
  <c r="U54" i="1" s="1"/>
  <c r="I39" i="1"/>
  <c r="P39" i="1" s="1"/>
  <c r="E8" i="1"/>
  <c r="P8" i="1"/>
  <c r="O31" i="1"/>
  <c r="E32" i="1"/>
  <c r="P32" i="1" s="1"/>
  <c r="P31" i="1"/>
  <c r="P16" i="1"/>
  <c r="P11" i="1"/>
  <c r="P9" i="1"/>
  <c r="I22" i="1"/>
  <c r="P22" i="1" s="1"/>
  <c r="O24" i="1"/>
  <c r="E27" i="1" s="1"/>
  <c r="P27" i="1" s="1"/>
  <c r="I24" i="1"/>
  <c r="E34" i="1"/>
  <c r="P34" i="1" s="1"/>
  <c r="O33" i="1"/>
  <c r="I33" i="1"/>
  <c r="I21" i="1"/>
  <c r="P21" i="1" s="1"/>
  <c r="P13" i="1"/>
  <c r="I26" i="1"/>
  <c r="P26" i="1" s="1"/>
  <c r="P41" i="1"/>
  <c r="I29" i="1"/>
  <c r="P29" i="1" s="1"/>
  <c r="P24" i="1" l="1"/>
  <c r="U7" i="1"/>
  <c r="P33" i="1"/>
  <c r="U39" i="1"/>
  <c r="U21" i="1"/>
  <c r="R22" i="1"/>
</calcChain>
</file>

<file path=xl/sharedStrings.xml><?xml version="1.0" encoding="utf-8"?>
<sst xmlns="http://schemas.openxmlformats.org/spreadsheetml/2006/main" count="103" uniqueCount="73">
  <si>
    <t>Subcontractor</t>
  </si>
  <si>
    <t>State</t>
  </si>
  <si>
    <t>District</t>
  </si>
  <si>
    <t>Shamli</t>
  </si>
  <si>
    <t>Blocks</t>
  </si>
  <si>
    <t>Amount</t>
  </si>
  <si>
    <t>Hold Amount for quantity more than DPR</t>
  </si>
  <si>
    <t>UTR</t>
  </si>
  <si>
    <t>Advance Village Wise</t>
  </si>
  <si>
    <t>KHERA Bhau Village Pipeline laying work</t>
  </si>
  <si>
    <t>03-08-2023 NEFT/AXISP00412352658/RIUP23/1324/AMAN NTERPRISES 164981.00</t>
  </si>
  <si>
    <t>GST Relaese Note</t>
  </si>
  <si>
    <t>22-08-2023 NEFT/AXISP00417367247/RIUP23/1655/AMAN NTERPRISES 198000.00</t>
  </si>
  <si>
    <t>04-09-2023 NEFT/AXISP00421476873/RIUP23/1831/AMAN ENTERPRISES 12750.00</t>
  </si>
  <si>
    <t>22-09-2023 NEFT/AXISP00426907986/RIUP23/2218/AMAN ENTERPRISES 148500.00</t>
  </si>
  <si>
    <t>30-09-2023 NEFT/AXISP00428978263/RIUP23/2386/AMAN ENTERPRISES  46604.00</t>
  </si>
  <si>
    <t>17-10-2023 NEFT/AXISP00435127459/RIUP23/2697/AMAN ENTERPRISES/HDFC0004496 97549.00</t>
  </si>
  <si>
    <t>27-10-2023 NEFT/AXISP00437384101/RIUP23/2965/AMAN ENTERPRISES/HDFC0004496 99000.00</t>
  </si>
  <si>
    <t>23-11-2023 NEFT/AXISP00445939288/RIUP23/3380/AMAN ENTERPRISES/HDFC0004496 99000.00</t>
  </si>
  <si>
    <t>02-12-2023 NEFT/AXISP00449103408/RIUP23/3535/AMAN ENTERPRISES/HDFC0004496 16979.00</t>
  </si>
  <si>
    <t>02-12-2023 NEFT/AXISP00449103409/RIUP23/3536/AMAN ENTERPRISES/HDFC0004496 53663.00</t>
  </si>
  <si>
    <t>22-12-2023 NEFT/AXISP00454808103/RIUP23/3878/AMAN ENTERPRISES/HDFC0004496 257175.00</t>
  </si>
  <si>
    <t>26-02-2024 NEFT/AXISP00474061291/RIUP23/4699/AMAN ENTERPRISES/HDFC0004496 133621.00</t>
  </si>
  <si>
    <t xml:space="preserve"> </t>
  </si>
  <si>
    <t>10-09-2024 NEFT/AXISP00538525516/RIUP24/1730/AMAN ENTERPRISES/HDFC0004496 49500.00</t>
  </si>
  <si>
    <t>Panthupura Village Pipeline Work</t>
  </si>
  <si>
    <t>25-10-2023 NEFT/AXISP00436681639/RIUP23/2850/AMAN ENTERPRISES  198000.00</t>
  </si>
  <si>
    <t>26-10-2023 NEFT/AXISP00437151655/RIUP23/2900/AMAN ENTERPRISES/HDFC0004496 ₹ 1,11,949.00</t>
  </si>
  <si>
    <t>09-11-2023 NEFT/AXISP00442779039/RIUP23/3152/AMAN ENTERPRISES/HDFC0004496 70818.00</t>
  </si>
  <si>
    <t>27-12-2023 NEFT/AXISP00455698612/RIUP23/3954/AMANENTERPRISES/HDFC0004496 77124.00</t>
  </si>
  <si>
    <t>29-12-2023 NEFT/AXISP00456827636/RIUP23/4024/AMAN ENTERPRISES/HDFC0004496 247500.00</t>
  </si>
  <si>
    <t>10-01-2024 NEFT/AXISP00461403097/RIUP23/4194/AMAN ENTERPRISES/HDFC0004496 153738.00</t>
  </si>
  <si>
    <t>25-01-2024 NEFT/AXISP00464876205/RIUP23/4402/AMAN ENTERPRISES/HDFC0004496 226591.00</t>
  </si>
  <si>
    <t>22-02-2024 NEFT/AXISP00473278695/RIUP23/4700/AMAN ENTERPRISES/HDFC0004496 17226.00</t>
  </si>
  <si>
    <t>26-04-2024 NEFT/AXISP00493934367/RIUP23/5135/AMAN ENTERPRISES/HDFC0004496 166075.00</t>
  </si>
  <si>
    <t>28-05-2024 NEFT/AXISP00503313835/RIUP24/0634/AMAN ENTERPRISES/HDFC0004496 148500.00</t>
  </si>
  <si>
    <t>03-08-2024 NEFT/AXISP00524511282/RIUP24/1352/AMAN ENTERPRISES/HDFC0004496 173250.00</t>
  </si>
  <si>
    <t>10-09-2024 NEFT/AXISP00538525515/RIUP24/1729/AMAN ENTERPRISES/HDFC0004496 99000.00</t>
  </si>
  <si>
    <t>21-09-2024 NEFT/AXISP00542940970/RIUP24/1887/AMAN ENTERPRISES/HDFC0004496 74250.00</t>
  </si>
  <si>
    <t>26-09-2024 NEFT/AXISP00544686591/RIUP24/1933/AMAN ENTERPRISES/HDFC0004496 148500.00</t>
  </si>
  <si>
    <t>14-11-2024 NEFT/AXISP00569818237/RIUP24/2479/AMAN ENTERPRISES/HDFC0004496 49500.00</t>
  </si>
  <si>
    <t>04-12-2024 NEFT/AXISP00579764036/RIUP24/2624/AMAN ENTERPRISES/HDFC0004496 74250.00</t>
  </si>
  <si>
    <t>Chausana Village Pipeline Work</t>
  </si>
  <si>
    <t>23-11-2023 NEFT/AXISP00445939287/RIUP23/3381/AMAN ENTERPRISES/HDFC0004496 99000.00</t>
  </si>
  <si>
    <t>01-12-2023 NEFT/AXISP00448952429/RIUP23/3558/AMAN ENTERPRISES/HDFC0004496 ₹ 1,98,000.00</t>
  </si>
  <si>
    <t>06-03-2024 NEFT/AXISP00477669931/RIUP23/5008/AMAN ENTERPRISES/HDFC0004496 99000.00</t>
  </si>
  <si>
    <t>18-03-2024 NEFT/AXISP00481766504/RIUP23/5166/AMAN ENTERPRISES/HDFC0004496 198000.00</t>
  </si>
  <si>
    <t>01-10-2024 NEFT/AXISP00547368149/RIUP24/2044/AMAN ENTERPRISES/HDFC0004496 99000.00</t>
  </si>
  <si>
    <t>30-10-2024 NEFT/AXISP00561390207/RIUP24/2343/AMAN ENTERPRISES/HDFC0004496 99000.00</t>
  </si>
  <si>
    <t>RR GAGAOUR</t>
  </si>
  <si>
    <t>Bajheri RR</t>
  </si>
  <si>
    <t>10-10-2024 NEFT/AXISP00552209291/RIUP24/2157/AMAN ENTERPRISES/HDFC0004496 69300.00</t>
  </si>
  <si>
    <t>28-11-2024 NEFT/AXISP00575911963/RIUP24/2570/AMAN ENTERPRISES/HDFC0004496 99000.00</t>
  </si>
  <si>
    <t>Uttar Pradesh</t>
  </si>
  <si>
    <t>Aman Enterprises</t>
  </si>
  <si>
    <t>ABDULLAPUR VILLAGE PIPE LINE WORK URF MORJ MAJRA, BLOCK-THANABHAWAN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</si>
  <si>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</si>
  <si>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</si>
  <si>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</si>
  <si>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</si>
  <si>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</si>
  <si>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</si>
  <si>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</si>
  <si>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</si>
  <si>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</si>
  <si>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</si>
  <si>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</si>
  <si>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</si>
  <si>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</si>
  <si>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</si>
  <si>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Payment_Amount</t>
  </si>
  <si>
    <t>TDS_Payment_Amount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</si>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</sst>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(* #,##0.00_);_(* \(#,##0.00\);_(* &quot;-&quot;??_);_(@_)"/>
  </numFmts>
  <fonts count="9">
    <font>
      <sz val="11"/>
      <color theme="1"/>
      <name val="Calibri"/>
      <charset val="134"/>
      <scheme val="minor"/>
    </font>
    <font>
      <sz val="9"/>
      <name val="Comic Sans MS"/>
      <charset val="134"/>
    </font>
    <font>
      <b/>
      <sz val="9"/>
      <name val="Comic Sans MS"/>
      <charset val="134"/>
    </font>
    <font>
      <sz val="11"/>
      <color theme="1"/>
      <name val="Calibri"/>
      <charset val="134"/>
      <scheme val="minor"/>
    </font>
    <font>
      <sz val="9"/>
      <name val="Comic Sans MS"/>
      <family val="4"/>
    </font>
    <font>
      <sz val="11"/>
      <name val="Calibri"/>
      <family val="2"/>
      <scheme val="minor"/>
    </font>
    <font>
      <sz val="11"/>
      <name val="Calibri"/>
      <charset val="134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46">
    <xf numFmtId="0" fontId="0" fillId="0" borderId="0" xfId="0"/>
    <xf numFmtId="43" fontId="1" fillId="0" borderId="0" xfId="1" applyNumberFormat="1" applyFont="1" applyFill="1" applyBorder="1" applyAlignment="1">
      <alignment horizontal="left" vertical="top"/>
    </xf>
    <xf numFmtId="43" fontId="4" fillId="0" borderId="0" xfId="1" applyNumberFormat="1" applyFont="1" applyFill="1" applyBorder="1" applyAlignment="1">
      <alignment vertical="center"/>
    </xf>
    <xf numFmtId="0" fontId="5" fillId="0" borderId="0" xfId="0" applyFont="1" applyFill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left" vertical="top"/>
    </xf>
    <xf numFmtId="0" fontId="1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/>
    </xf>
    <xf numFmtId="43" fontId="1" fillId="0" borderId="2" xfId="1" applyNumberFormat="1" applyFont="1" applyFill="1" applyBorder="1" applyAlignment="1">
      <alignment vertical="center"/>
    </xf>
    <xf numFmtId="9" fontId="1" fillId="0" borderId="2" xfId="1" applyNumberFormat="1" applyFont="1" applyFill="1" applyBorder="1" applyAlignment="1">
      <alignment vertical="center"/>
    </xf>
    <xf numFmtId="9" fontId="1" fillId="0" borderId="2" xfId="1" applyNumberFormat="1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center" vertical="center" wrapText="1"/>
    </xf>
    <xf numFmtId="15" fontId="1" fillId="0" borderId="4" xfId="0" applyNumberFormat="1" applyFont="1" applyFill="1" applyBorder="1" applyAlignment="1">
      <alignment horizontal="center" vertical="center"/>
    </xf>
    <xf numFmtId="43" fontId="1" fillId="0" borderId="4" xfId="1" applyNumberFormat="1" applyFont="1" applyFill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left" vertical="center"/>
    </xf>
    <xf numFmtId="43" fontId="1" fillId="0" borderId="3" xfId="1" applyNumberFormat="1" applyFont="1" applyFill="1" applyBorder="1" applyAlignment="1">
      <alignment vertical="center"/>
    </xf>
    <xf numFmtId="9" fontId="1" fillId="0" borderId="3" xfId="1" applyNumberFormat="1" applyFont="1" applyFill="1" applyBorder="1" applyAlignment="1">
      <alignment vertical="center"/>
    </xf>
    <xf numFmtId="9" fontId="1" fillId="0" borderId="3" xfId="1" applyNumberFormat="1" applyFont="1" applyFill="1" applyBorder="1" applyAlignment="1">
      <alignment horizontal="center" vertical="center"/>
    </xf>
    <xf numFmtId="15" fontId="1" fillId="0" borderId="3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vertical="center"/>
    </xf>
    <xf numFmtId="0" fontId="1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center" vertical="center" wrapText="1"/>
    </xf>
    <xf numFmtId="15" fontId="1" fillId="0" borderId="5" xfId="0" applyNumberFormat="1" applyFont="1" applyFill="1" applyBorder="1" applyAlignment="1">
      <alignment horizontal="center" vertical="center"/>
    </xf>
    <xf numFmtId="43" fontId="1" fillId="0" borderId="5" xfId="1" applyNumberFormat="1" applyFont="1" applyFill="1" applyBorder="1" applyAlignment="1">
      <alignment vertical="center"/>
    </xf>
    <xf numFmtId="0" fontId="6" fillId="0" borderId="5" xfId="0" applyFont="1" applyFill="1" applyBorder="1" applyAlignment="1">
      <alignment vertical="center"/>
    </xf>
    <xf numFmtId="0" fontId="4" fillId="0" borderId="4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 applyAlignment="1">
      <alignment vertical="center"/>
    </xf>
    <xf numFmtId="43" fontId="6" fillId="0" borderId="0" xfId="1" applyNumberFormat="1" applyFont="1" applyFill="1" applyAlignment="1">
      <alignment vertical="center"/>
    </xf>
    <xf numFmtId="0" fontId="5" fillId="0" borderId="0" xfId="0" applyFont="1" applyFill="1" applyAlignment="1"/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43" fontId="7" fillId="2" borderId="1" xfId="1" applyNumberFormat="1" applyFont="1" applyFill="1" applyBorder="1" applyAlignment="1">
      <alignment horizontal="center" vertical="center"/>
    </xf>
    <xf numFmtId="43" fontId="8" fillId="2" borderId="1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"/>
  <sheetViews>
    <sheetView tabSelected="1" zoomScaleNormal="100" workbookViewId="0">
      <pane xSplit="2" ySplit="6" topLeftCell="C7" activePane="bottomRight" state="frozen"/>
      <selection pane="topRight"/>
      <selection pane="bottomLeft"/>
      <selection pane="bottomRight" activeCell="F46" sqref="F46"/>
    </sheetView>
  </sheetViews>
  <sheetFormatPr defaultColWidth="9" defaultRowHeight="15"/>
  <cols>
    <col min="1" max="1" width="16.140625" style="36" customWidth="1"/>
    <col min="2" max="2" width="59.5703125" style="37" customWidth="1"/>
    <col min="3" max="3" width="20.28515625" style="37" customWidth="1"/>
    <col min="4" max="4" width="11.85546875" style="37" customWidth="1"/>
    <col min="5" max="5" width="11.42578125" style="37" customWidth="1"/>
    <col min="6" max="6" width="11.140625" style="37" customWidth="1"/>
    <col min="7" max="7" width="15.5703125" style="37" customWidth="1"/>
    <col min="8" max="8" width="11.140625" style="38" customWidth="1"/>
    <col min="9" max="9" width="11.42578125" style="38" customWidth="1"/>
    <col min="10" max="10" width="9.7109375" style="37" customWidth="1"/>
    <col min="11" max="11" width="14.140625" style="37" customWidth="1"/>
    <col min="12" max="12" width="15.42578125" style="37" customWidth="1"/>
    <col min="13" max="13" width="13.28515625" style="37" customWidth="1"/>
    <col min="14" max="14" width="14.5703125" style="37" customWidth="1"/>
    <col min="15" max="15" width="14.42578125" style="37" customWidth="1"/>
    <col min="16" max="16" width="15.28515625" style="37" customWidth="1"/>
    <col min="17" max="17" width="11.42578125" style="37" customWidth="1"/>
    <col min="18" max="18" width="13.7109375" style="37" customWidth="1"/>
    <col min="19" max="19" width="15.28515625" style="37" customWidth="1"/>
    <col min="20" max="20" width="89.7109375" style="37" customWidth="1"/>
    <col min="21" max="21" width="14.42578125" style="37" customWidth="1"/>
    <col min="22" max="16384" width="9" style="37"/>
  </cols>
  <sheetData>
    <row r="1" spans="1:21" s="5" customFormat="1" ht="14.1" customHeight="1">
      <c r="A1" s="3" t="s">
        <v>0</v>
      </c>
      <c r="B1" s="4" t="s">
        <v>54</v>
      </c>
      <c r="C1" s="4"/>
      <c r="D1" s="4"/>
      <c r="E1" s="4"/>
      <c r="F1" s="4"/>
      <c r="G1" s="4"/>
      <c r="H1" s="1"/>
      <c r="I1" s="1"/>
      <c r="J1" s="4"/>
      <c r="K1" s="4"/>
      <c r="L1" s="4"/>
      <c r="M1" s="4"/>
      <c r="N1" s="4"/>
      <c r="Q1" s="4"/>
      <c r="R1" s="4"/>
      <c r="S1" s="4"/>
      <c r="T1" s="4"/>
      <c r="U1" s="4"/>
    </row>
    <row r="2" spans="1:21" s="5" customFormat="1">
      <c r="A2" s="3" t="s">
        <v>1</v>
      </c>
      <c r="B2" s="4" t="s">
        <v>53</v>
      </c>
      <c r="C2" s="4"/>
      <c r="D2" s="4"/>
      <c r="E2" s="4"/>
      <c r="F2" s="4"/>
      <c r="G2" s="4"/>
      <c r="H2" s="1"/>
      <c r="I2" s="1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s="5" customFormat="1">
      <c r="A3" s="3" t="s">
        <v>2</v>
      </c>
      <c r="B3" s="4" t="s">
        <v>3</v>
      </c>
      <c r="C3" s="4"/>
      <c r="D3" s="4"/>
      <c r="E3" s="4"/>
      <c r="F3" s="4"/>
      <c r="G3" s="4"/>
      <c r="H3" s="1"/>
      <c r="I3" s="1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s="39" customFormat="1" ht="15.75" thickBot="1">
      <c r="A4" s="7" t="s">
        <v>4</v>
      </c>
      <c r="B4" s="8" t="s">
        <v>3</v>
      </c>
      <c r="C4" s="8"/>
      <c r="D4" s="8"/>
      <c r="E4" s="8"/>
      <c r="F4" s="8"/>
      <c r="G4" s="8"/>
      <c r="H4" s="2"/>
      <c r="I4" s="2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1" ht="40.5">
      <c r="A5" s="40" t="s">
        <v>56</v>
      </c>
      <c r="B5" s="41" t="s">
        <v>57</v>
      </c>
      <c r="C5" s="42" t="s">
        <v>58</v>
      </c>
      <c r="D5" s="43" t="s">
        <v>59</v>
      </c>
      <c r="E5" s="41" t="s">
        <v>60</v>
      </c>
      <c r="F5" s="41" t="s">
        <v>61</v>
      </c>
      <c r="G5" s="43" t="s">
        <v>62</v>
      </c>
      <c r="H5" s="44" t="s">
        <v>63</v>
      </c>
      <c r="I5" s="45" t="s">
        <v>5</v>
      </c>
      <c r="J5" s="41" t="s">
        <v>64</v>
      </c>
      <c r="K5" s="41" t="s">
        <v>65</v>
      </c>
      <c r="L5" s="41" t="s">
        <v>66</v>
      </c>
      <c r="M5" s="41" t="s">
        <v>67</v>
      </c>
      <c r="N5" s="10" t="s">
        <v>6</v>
      </c>
      <c r="O5" s="41" t="s">
        <v>68</v>
      </c>
      <c r="P5" s="41" t="s">
        <v>69</v>
      </c>
      <c r="Q5" s="41" t="s">
        <v>70</v>
      </c>
      <c r="R5" s="41" t="s">
        <v>71</v>
      </c>
      <c r="S5" s="41" t="s">
        <v>72</v>
      </c>
      <c r="T5" s="41" t="s">
        <v>7</v>
      </c>
      <c r="U5" s="10" t="s">
        <v>8</v>
      </c>
    </row>
    <row r="6" spans="1:21" ht="15.75" thickBot="1">
      <c r="A6" s="11"/>
      <c r="B6" s="12"/>
      <c r="C6" s="12"/>
      <c r="D6" s="12"/>
      <c r="E6" s="13"/>
      <c r="F6" s="13"/>
      <c r="G6" s="14"/>
      <c r="H6" s="13">
        <v>0.18</v>
      </c>
      <c r="I6" s="13"/>
      <c r="J6" s="13">
        <v>0.01</v>
      </c>
      <c r="K6" s="13">
        <v>0.05</v>
      </c>
      <c r="L6" s="14">
        <v>0.1</v>
      </c>
      <c r="M6" s="13">
        <v>0.1</v>
      </c>
      <c r="N6" s="13"/>
      <c r="O6" s="13">
        <v>0.18</v>
      </c>
      <c r="P6" s="12"/>
      <c r="Q6" s="12"/>
      <c r="R6" s="13">
        <v>0.01</v>
      </c>
      <c r="S6" s="12"/>
      <c r="T6" s="12"/>
      <c r="U6" s="12"/>
    </row>
    <row r="7" spans="1:21">
      <c r="A7" s="15">
        <v>58264</v>
      </c>
      <c r="B7" s="16" t="s">
        <v>9</v>
      </c>
      <c r="C7" s="17">
        <v>45133</v>
      </c>
      <c r="D7" s="18">
        <v>1</v>
      </c>
      <c r="E7" s="18">
        <v>239527.5</v>
      </c>
      <c r="F7" s="18">
        <v>1.5</v>
      </c>
      <c r="G7" s="18">
        <f>E7-F7</f>
        <v>239526</v>
      </c>
      <c r="H7" s="18">
        <f>ROUND(G7*$H$6,0)</f>
        <v>43115</v>
      </c>
      <c r="I7" s="18">
        <f>G7+H7</f>
        <v>282641</v>
      </c>
      <c r="J7" s="18">
        <f>ROUND(G7*$J$6,)</f>
        <v>2395</v>
      </c>
      <c r="K7" s="18">
        <f>ROUND(G7*$K$6,)</f>
        <v>11976</v>
      </c>
      <c r="L7" s="18">
        <f>ROUND(G7*10%,)</f>
        <v>23953</v>
      </c>
      <c r="M7" s="18">
        <f>ROUND(G7*$M$6,)</f>
        <v>23953</v>
      </c>
      <c r="N7" s="18">
        <v>12267.8</v>
      </c>
      <c r="O7" s="18">
        <f>G7*O6</f>
        <v>43114.68</v>
      </c>
      <c r="P7" s="18">
        <f>ROUND(I7-SUM(J7:O7),0)</f>
        <v>164982</v>
      </c>
      <c r="Q7" s="18">
        <v>164981</v>
      </c>
      <c r="R7" s="18"/>
      <c r="S7" s="18">
        <f>Q7-R7</f>
        <v>164981</v>
      </c>
      <c r="T7" s="19" t="s">
        <v>10</v>
      </c>
      <c r="U7" s="18">
        <f>SUM(P7:P19)-SUM(S7:S19)</f>
        <v>-49500.639999999898</v>
      </c>
    </row>
    <row r="8" spans="1:21">
      <c r="A8" s="15">
        <v>58264</v>
      </c>
      <c r="B8" s="20" t="s">
        <v>11</v>
      </c>
      <c r="C8" s="17"/>
      <c r="D8" s="18">
        <v>1</v>
      </c>
      <c r="E8" s="18">
        <f>O7</f>
        <v>43114.68</v>
      </c>
      <c r="F8" s="18"/>
      <c r="G8" s="18"/>
      <c r="H8" s="18"/>
      <c r="I8" s="18"/>
      <c r="J8" s="18"/>
      <c r="K8" s="18"/>
      <c r="L8" s="18"/>
      <c r="M8" s="18"/>
      <c r="N8" s="18"/>
      <c r="O8" s="18"/>
      <c r="P8" s="18">
        <f>O7</f>
        <v>43114.68</v>
      </c>
      <c r="Q8" s="18">
        <v>200000</v>
      </c>
      <c r="R8" s="18">
        <f>Q8*R6</f>
        <v>2000</v>
      </c>
      <c r="S8" s="18">
        <f t="shared" ref="S8:S11" si="0">Q8-R8</f>
        <v>198000</v>
      </c>
      <c r="T8" s="19" t="s">
        <v>12</v>
      </c>
      <c r="U8" s="18"/>
    </row>
    <row r="9" spans="1:21">
      <c r="A9" s="15">
        <v>58264</v>
      </c>
      <c r="B9" s="20" t="s">
        <v>9</v>
      </c>
      <c r="C9" s="17">
        <v>45152</v>
      </c>
      <c r="D9" s="18">
        <v>2</v>
      </c>
      <c r="E9" s="18">
        <v>338440.5</v>
      </c>
      <c r="F9" s="18">
        <v>36028.5</v>
      </c>
      <c r="G9" s="18">
        <f>E9-F9</f>
        <v>302412</v>
      </c>
      <c r="H9" s="18">
        <f>ROUND(G9*$H$6,0)</f>
        <v>54434</v>
      </c>
      <c r="I9" s="18">
        <f>G9+H9</f>
        <v>356846</v>
      </c>
      <c r="J9" s="18">
        <f>ROUND(G9*$J$6,)</f>
        <v>3024</v>
      </c>
      <c r="K9" s="18">
        <f>ROUND(G9*$K$6,)</f>
        <v>15121</v>
      </c>
      <c r="L9" s="18">
        <f>G9*L6</f>
        <v>30241.200000000001</v>
      </c>
      <c r="M9" s="18">
        <f>ROUND(G9*$M$6,)</f>
        <v>30241</v>
      </c>
      <c r="N9" s="18">
        <v>13035</v>
      </c>
      <c r="O9" s="18">
        <f>G9*O6</f>
        <v>54434.159999999996</v>
      </c>
      <c r="P9" s="18">
        <f>ROUND(I9-SUM(J9:O9),0)</f>
        <v>210750</v>
      </c>
      <c r="Q9" s="18">
        <v>12750</v>
      </c>
      <c r="R9" s="18"/>
      <c r="S9" s="18">
        <f t="shared" si="0"/>
        <v>12750</v>
      </c>
      <c r="T9" s="19" t="s">
        <v>13</v>
      </c>
      <c r="U9" s="18"/>
    </row>
    <row r="10" spans="1:21">
      <c r="A10" s="15">
        <v>58264</v>
      </c>
      <c r="B10" s="20" t="s">
        <v>11</v>
      </c>
      <c r="C10" s="17"/>
      <c r="D10" s="18">
        <v>2</v>
      </c>
      <c r="E10" s="18">
        <f>O9</f>
        <v>54434.159999999996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>
        <f>O9</f>
        <v>54434.159999999996</v>
      </c>
      <c r="Q10" s="18">
        <v>150000</v>
      </c>
      <c r="R10" s="18">
        <f>Q10*R6</f>
        <v>1500</v>
      </c>
      <c r="S10" s="18">
        <f t="shared" si="0"/>
        <v>148500</v>
      </c>
      <c r="T10" s="19" t="s">
        <v>14</v>
      </c>
      <c r="U10" s="18"/>
    </row>
    <row r="11" spans="1:21">
      <c r="A11" s="15">
        <v>58264</v>
      </c>
      <c r="B11" s="20" t="s">
        <v>9</v>
      </c>
      <c r="C11" s="17">
        <v>45152</v>
      </c>
      <c r="D11" s="18">
        <v>3</v>
      </c>
      <c r="E11" s="18">
        <v>352169</v>
      </c>
      <c r="F11" s="18">
        <v>54042</v>
      </c>
      <c r="G11" s="18">
        <f>E11-F11</f>
        <v>298127</v>
      </c>
      <c r="H11" s="18">
        <f>ROUND(G11*$H$6,0)</f>
        <v>53663</v>
      </c>
      <c r="I11" s="18">
        <f>G11+H11</f>
        <v>351790</v>
      </c>
      <c r="J11" s="18">
        <f>ROUND(G11*$J$6,)</f>
        <v>2981</v>
      </c>
      <c r="K11" s="18">
        <f>ROUND(G11*$K$6,)</f>
        <v>14906</v>
      </c>
      <c r="L11" s="18">
        <f>G11*L6</f>
        <v>29812.7</v>
      </c>
      <c r="M11" s="18">
        <f>ROUND(G11*$M$6,)</f>
        <v>29813</v>
      </c>
      <c r="N11" s="18">
        <v>25508</v>
      </c>
      <c r="O11" s="18">
        <f>G11*O6</f>
        <v>53662.86</v>
      </c>
      <c r="P11" s="18">
        <f>ROUND(I11-SUM(J11:O11),0)</f>
        <v>195106</v>
      </c>
      <c r="Q11" s="18">
        <v>46604</v>
      </c>
      <c r="R11" s="18"/>
      <c r="S11" s="18">
        <f t="shared" si="0"/>
        <v>46604</v>
      </c>
      <c r="T11" s="19" t="s">
        <v>15</v>
      </c>
      <c r="U11" s="18"/>
    </row>
    <row r="12" spans="1:21">
      <c r="A12" s="15">
        <v>58264</v>
      </c>
      <c r="B12" s="20" t="s">
        <v>11</v>
      </c>
      <c r="C12" s="17"/>
      <c r="D12" s="18">
        <v>3</v>
      </c>
      <c r="E12" s="18">
        <f>O11</f>
        <v>53662.86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>
        <f>E12</f>
        <v>53662.86</v>
      </c>
      <c r="Q12" s="18">
        <v>97549</v>
      </c>
      <c r="R12" s="18"/>
      <c r="S12" s="18">
        <f t="shared" ref="S12" si="1">Q12-R12</f>
        <v>97549</v>
      </c>
      <c r="T12" s="19" t="s">
        <v>16</v>
      </c>
      <c r="U12" s="18"/>
    </row>
    <row r="13" spans="1:21">
      <c r="A13" s="15">
        <v>58264</v>
      </c>
      <c r="B13" s="20" t="s">
        <v>9</v>
      </c>
      <c r="C13" s="17">
        <v>45152</v>
      </c>
      <c r="D13" s="18">
        <v>5</v>
      </c>
      <c r="E13" s="18">
        <v>125694</v>
      </c>
      <c r="F13" s="18">
        <v>0</v>
      </c>
      <c r="G13" s="18">
        <f>E13-F13</f>
        <v>125694</v>
      </c>
      <c r="H13" s="18">
        <f>ROUND(G13*$H$6,0)</f>
        <v>22625</v>
      </c>
      <c r="I13" s="18">
        <f>G13+H13</f>
        <v>148319</v>
      </c>
      <c r="J13" s="18">
        <f>ROUND(G13*$J$6,)</f>
        <v>1257</v>
      </c>
      <c r="K13" s="18">
        <f>ROUND(G13*$K$6,)</f>
        <v>6285</v>
      </c>
      <c r="L13" s="18">
        <f>G13*L6</f>
        <v>12569.400000000001</v>
      </c>
      <c r="M13" s="18">
        <f>ROUND(G13*$M$6,)</f>
        <v>12569</v>
      </c>
      <c r="N13" s="18">
        <v>0</v>
      </c>
      <c r="O13" s="18">
        <f>G13*O6</f>
        <v>22624.92</v>
      </c>
      <c r="P13" s="18">
        <f>ROUND(I13-SUM(J13:O13),0)</f>
        <v>93014</v>
      </c>
      <c r="Q13" s="18">
        <v>100000</v>
      </c>
      <c r="R13" s="18">
        <f>Q13*1%</f>
        <v>1000</v>
      </c>
      <c r="S13" s="18">
        <f t="shared" ref="S13" si="2">Q13-R13</f>
        <v>99000</v>
      </c>
      <c r="T13" s="19" t="s">
        <v>17</v>
      </c>
      <c r="U13" s="18"/>
    </row>
    <row r="14" spans="1:21">
      <c r="A14" s="15">
        <v>58264</v>
      </c>
      <c r="B14" s="20" t="s">
        <v>11</v>
      </c>
      <c r="C14" s="17"/>
      <c r="D14" s="18">
        <v>5</v>
      </c>
      <c r="E14" s="18">
        <f>O13</f>
        <v>22624.92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>
        <f>E14</f>
        <v>22624.92</v>
      </c>
      <c r="Q14" s="18">
        <v>100000</v>
      </c>
      <c r="R14" s="18">
        <f>Q14*1%</f>
        <v>1000</v>
      </c>
      <c r="S14" s="18">
        <f t="shared" ref="S14:S17" si="3">Q14-R14</f>
        <v>99000</v>
      </c>
      <c r="T14" s="19" t="s">
        <v>18</v>
      </c>
      <c r="U14" s="18"/>
    </row>
    <row r="15" spans="1:21">
      <c r="A15" s="15">
        <v>58264</v>
      </c>
      <c r="B15" s="20" t="s">
        <v>9</v>
      </c>
      <c r="C15" s="17">
        <v>45246</v>
      </c>
      <c r="D15" s="18">
        <v>8</v>
      </c>
      <c r="E15" s="18">
        <v>222041</v>
      </c>
      <c r="F15" s="18">
        <v>57225</v>
      </c>
      <c r="G15" s="18">
        <f>E15-F15</f>
        <v>164816</v>
      </c>
      <c r="H15" s="18">
        <f>G15*18%</f>
        <v>29666.879999999997</v>
      </c>
      <c r="I15" s="18">
        <f>G15+H15</f>
        <v>194482.88</v>
      </c>
      <c r="J15" s="18">
        <f>ROUND(G15*$J$6,)</f>
        <v>1648</v>
      </c>
      <c r="K15" s="18">
        <f>ROUND(G15*$K$6,)</f>
        <v>8241</v>
      </c>
      <c r="L15" s="18">
        <f>G15*L6</f>
        <v>16481.600000000002</v>
      </c>
      <c r="M15" s="18">
        <f>ROUND(G15*$M$6,)</f>
        <v>16482</v>
      </c>
      <c r="N15" s="18">
        <v>0</v>
      </c>
      <c r="O15" s="18">
        <f>G15*O6</f>
        <v>29666.879999999997</v>
      </c>
      <c r="P15" s="18">
        <f>ROUND(I15-SUM(J15:O15),0)</f>
        <v>121963</v>
      </c>
      <c r="Q15" s="18">
        <v>16979</v>
      </c>
      <c r="R15" s="18">
        <f t="shared" ref="R15:R17" si="4">Q15*R7</f>
        <v>0</v>
      </c>
      <c r="S15" s="18">
        <f t="shared" si="3"/>
        <v>16979</v>
      </c>
      <c r="T15" s="19" t="s">
        <v>19</v>
      </c>
      <c r="U15" s="18"/>
    </row>
    <row r="16" spans="1:21">
      <c r="A16" s="15">
        <v>58264</v>
      </c>
      <c r="B16" s="20" t="s">
        <v>9</v>
      </c>
      <c r="C16" s="17">
        <v>45257</v>
      </c>
      <c r="D16" s="18">
        <v>10</v>
      </c>
      <c r="E16" s="18">
        <v>563094</v>
      </c>
      <c r="F16" s="18">
        <v>111267</v>
      </c>
      <c r="G16" s="18">
        <f>E16-F16</f>
        <v>451827</v>
      </c>
      <c r="H16" s="18">
        <f>G16*18%</f>
        <v>81328.86</v>
      </c>
      <c r="I16" s="18">
        <f>G16+H16</f>
        <v>533155.86</v>
      </c>
      <c r="J16" s="18">
        <f>ROUND(G16*$J$6,)</f>
        <v>4518</v>
      </c>
      <c r="K16" s="18">
        <f>ROUND(G16*$K$6,)</f>
        <v>22591</v>
      </c>
      <c r="L16" s="18">
        <f>G16*10%</f>
        <v>45182.700000000004</v>
      </c>
      <c r="M16" s="18">
        <f>ROUND(G16*$M$6,)</f>
        <v>45183</v>
      </c>
      <c r="N16" s="18">
        <f>77178</f>
        <v>77178</v>
      </c>
      <c r="O16" s="18">
        <f>G16*O6</f>
        <v>81328.86</v>
      </c>
      <c r="P16" s="18">
        <f>ROUND(I16-SUM(J16:O16),0)</f>
        <v>257174</v>
      </c>
      <c r="Q16" s="18">
        <v>53663</v>
      </c>
      <c r="R16" s="18">
        <v>0</v>
      </c>
      <c r="S16" s="18">
        <f t="shared" si="3"/>
        <v>53663</v>
      </c>
      <c r="T16" s="19" t="s">
        <v>20</v>
      </c>
      <c r="U16" s="18"/>
    </row>
    <row r="17" spans="1:21">
      <c r="A17" s="15">
        <v>58264</v>
      </c>
      <c r="B17" s="20" t="s">
        <v>11</v>
      </c>
      <c r="C17" s="17"/>
      <c r="D17" s="18">
        <v>8</v>
      </c>
      <c r="E17" s="18">
        <f>O15</f>
        <v>29666.879999999997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>
        <f>E17</f>
        <v>29666.879999999997</v>
      </c>
      <c r="Q17" s="18">
        <v>257175</v>
      </c>
      <c r="R17" s="18">
        <f t="shared" si="4"/>
        <v>0</v>
      </c>
      <c r="S17" s="18">
        <f t="shared" si="3"/>
        <v>257175</v>
      </c>
      <c r="T17" s="19" t="s">
        <v>21</v>
      </c>
      <c r="U17" s="18"/>
    </row>
    <row r="18" spans="1:21">
      <c r="A18" s="15">
        <v>58264</v>
      </c>
      <c r="B18" s="20" t="s">
        <v>11</v>
      </c>
      <c r="C18" s="17"/>
      <c r="D18" s="18">
        <v>10</v>
      </c>
      <c r="E18" s="18">
        <f>O16</f>
        <v>81328.86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>
        <f>E18</f>
        <v>81328.86</v>
      </c>
      <c r="Q18" s="18">
        <v>133621</v>
      </c>
      <c r="R18" s="18">
        <v>0</v>
      </c>
      <c r="S18" s="18">
        <f t="shared" ref="S18" si="5">Q18-R18</f>
        <v>133621</v>
      </c>
      <c r="T18" s="19" t="s">
        <v>22</v>
      </c>
      <c r="U18" s="18"/>
    </row>
    <row r="19" spans="1:21">
      <c r="A19" s="15"/>
      <c r="B19" s="20"/>
      <c r="C19" s="17"/>
      <c r="D19" s="17" t="s">
        <v>23</v>
      </c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>
        <v>50000</v>
      </c>
      <c r="R19" s="18"/>
      <c r="S19" s="18">
        <v>49500</v>
      </c>
      <c r="T19" s="19" t="s">
        <v>24</v>
      </c>
      <c r="U19" s="18"/>
    </row>
    <row r="20" spans="1:21">
      <c r="A20" s="21"/>
      <c r="B20" s="22"/>
      <c r="C20" s="22"/>
      <c r="D20" s="22"/>
      <c r="E20" s="23"/>
      <c r="F20" s="23"/>
      <c r="G20" s="24"/>
      <c r="H20" s="23"/>
      <c r="I20" s="23"/>
      <c r="J20" s="23"/>
      <c r="K20" s="22"/>
      <c r="L20" s="24"/>
      <c r="M20" s="23"/>
      <c r="N20" s="23"/>
      <c r="O20" s="23"/>
      <c r="P20" s="22"/>
      <c r="Q20" s="22"/>
      <c r="R20" s="23"/>
      <c r="S20" s="22"/>
      <c r="T20" s="22"/>
      <c r="U20" s="22"/>
    </row>
    <row r="21" spans="1:21">
      <c r="A21" s="15">
        <v>59866</v>
      </c>
      <c r="B21" s="20" t="s">
        <v>25</v>
      </c>
      <c r="C21" s="17">
        <v>45212</v>
      </c>
      <c r="D21" s="18">
        <v>4</v>
      </c>
      <c r="E21" s="18">
        <v>536549</v>
      </c>
      <c r="F21" s="18">
        <v>108086</v>
      </c>
      <c r="G21" s="18">
        <f>E21-F21</f>
        <v>428463</v>
      </c>
      <c r="H21" s="18">
        <f>ROUND(G21*$H$6,0)</f>
        <v>77123</v>
      </c>
      <c r="I21" s="18">
        <f>G21+H21</f>
        <v>505586</v>
      </c>
      <c r="J21" s="18">
        <f>ROUND(G21*$J$6,)</f>
        <v>4285</v>
      </c>
      <c r="K21" s="18">
        <f>ROUND(G21*$K$6,)</f>
        <v>21423</v>
      </c>
      <c r="L21" s="18">
        <f>G21*L6</f>
        <v>42846.3</v>
      </c>
      <c r="M21" s="18">
        <f>ROUND(G21*$M$6,)</f>
        <v>42846</v>
      </c>
      <c r="N21" s="18">
        <v>7115</v>
      </c>
      <c r="O21" s="18">
        <f>H21</f>
        <v>77123</v>
      </c>
      <c r="P21" s="18">
        <f>ROUND(I21-SUM(J21:O21),0)</f>
        <v>309948</v>
      </c>
      <c r="Q21" s="18">
        <v>200000</v>
      </c>
      <c r="R21" s="18">
        <f>Q21*R6</f>
        <v>2000</v>
      </c>
      <c r="S21" s="18">
        <f t="shared" ref="S21" si="6">Q21-R21</f>
        <v>198000</v>
      </c>
      <c r="T21" s="19" t="s">
        <v>26</v>
      </c>
      <c r="U21" s="18">
        <f>SUM(P21:P37)-SUM(S21:S37)</f>
        <v>166956</v>
      </c>
    </row>
    <row r="22" spans="1:21">
      <c r="A22" s="15">
        <v>59866</v>
      </c>
      <c r="B22" s="20" t="s">
        <v>25</v>
      </c>
      <c r="C22" s="17">
        <v>45231</v>
      </c>
      <c r="D22" s="18">
        <v>6</v>
      </c>
      <c r="E22" s="18">
        <v>95700</v>
      </c>
      <c r="F22" s="18">
        <v>0</v>
      </c>
      <c r="G22" s="18">
        <f>E22-F22</f>
        <v>95700</v>
      </c>
      <c r="H22" s="18">
        <f>ROUND(G22*$H$6,0)</f>
        <v>17226</v>
      </c>
      <c r="I22" s="18">
        <f>G22+H22</f>
        <v>112926</v>
      </c>
      <c r="J22" s="18">
        <f>ROUND(G22*$J$6,)</f>
        <v>957</v>
      </c>
      <c r="K22" s="18">
        <f>ROUND(G22*$K$6,)</f>
        <v>4785</v>
      </c>
      <c r="L22" s="18">
        <f>G22*L6</f>
        <v>9570</v>
      </c>
      <c r="M22" s="18">
        <f>ROUND(G22*$M$6,)</f>
        <v>9570</v>
      </c>
      <c r="N22" s="18">
        <v>0</v>
      </c>
      <c r="O22" s="18">
        <f>H22</f>
        <v>17226</v>
      </c>
      <c r="P22" s="18">
        <f>ROUND(I22-SUM(J22:O22),0)</f>
        <v>70818</v>
      </c>
      <c r="Q22" s="18">
        <v>111949</v>
      </c>
      <c r="R22" s="18">
        <f ca="1">Q22*R22</f>
        <v>0</v>
      </c>
      <c r="S22" s="18">
        <v>111949</v>
      </c>
      <c r="T22" s="19" t="s">
        <v>27</v>
      </c>
      <c r="U22" s="18"/>
    </row>
    <row r="23" spans="1:21">
      <c r="A23" s="15">
        <v>59866</v>
      </c>
      <c r="B23" s="20" t="s">
        <v>11</v>
      </c>
      <c r="C23" s="17"/>
      <c r="D23" s="18">
        <v>4</v>
      </c>
      <c r="E23" s="18">
        <f>O21</f>
        <v>77123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>
        <f>E23</f>
        <v>77123</v>
      </c>
      <c r="Q23" s="18">
        <v>70818</v>
      </c>
      <c r="R23" s="18">
        <f>Q23*R7</f>
        <v>0</v>
      </c>
      <c r="S23" s="18">
        <f t="shared" ref="S23:S28" si="7">Q23-R23</f>
        <v>70818</v>
      </c>
      <c r="T23" s="19" t="s">
        <v>28</v>
      </c>
      <c r="U23" s="18"/>
    </row>
    <row r="24" spans="1:21">
      <c r="A24" s="15">
        <v>59866</v>
      </c>
      <c r="B24" s="20" t="s">
        <v>25</v>
      </c>
      <c r="C24" s="17">
        <v>45285</v>
      </c>
      <c r="D24" s="18">
        <v>11</v>
      </c>
      <c r="E24" s="18">
        <v>608300</v>
      </c>
      <c r="F24" s="18">
        <v>0</v>
      </c>
      <c r="G24" s="18">
        <f>E24-F24</f>
        <v>608300</v>
      </c>
      <c r="H24" s="18">
        <f>ROUND(G24*$H$6,0)</f>
        <v>109494</v>
      </c>
      <c r="I24" s="18">
        <f>G24+H24</f>
        <v>717794</v>
      </c>
      <c r="J24" s="18">
        <f>ROUND(G24*$J$6,)</f>
        <v>6083</v>
      </c>
      <c r="K24" s="18">
        <f>ROUND(G24*$K$6,)</f>
        <v>30415</v>
      </c>
      <c r="L24" s="18">
        <f>G24*10%</f>
        <v>60830</v>
      </c>
      <c r="M24" s="18">
        <f>ROUND(G24*$M$6,)</f>
        <v>60830</v>
      </c>
      <c r="N24" s="18">
        <v>48904</v>
      </c>
      <c r="O24" s="18">
        <f>H24</f>
        <v>109494</v>
      </c>
      <c r="P24" s="18">
        <f>ROUND(I24-SUM(J24:O24),0)</f>
        <v>401238</v>
      </c>
      <c r="Q24" s="18">
        <v>77124</v>
      </c>
      <c r="R24" s="18">
        <v>0</v>
      </c>
      <c r="S24" s="18">
        <f t="shared" si="7"/>
        <v>77124</v>
      </c>
      <c r="T24" s="19" t="s">
        <v>29</v>
      </c>
      <c r="U24" s="18"/>
    </row>
    <row r="25" spans="1:21">
      <c r="A25" s="15">
        <v>59866</v>
      </c>
      <c r="B25" s="20" t="s">
        <v>11</v>
      </c>
      <c r="C25" s="17"/>
      <c r="D25" s="18">
        <v>6</v>
      </c>
      <c r="E25" s="18">
        <f>O22</f>
        <v>17226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>
        <f>E25</f>
        <v>17226</v>
      </c>
      <c r="Q25" s="18">
        <v>250000</v>
      </c>
      <c r="R25" s="18">
        <f>Q25*R6</f>
        <v>2500</v>
      </c>
      <c r="S25" s="18">
        <f t="shared" si="7"/>
        <v>247500</v>
      </c>
      <c r="T25" s="19" t="s">
        <v>30</v>
      </c>
      <c r="U25" s="18"/>
    </row>
    <row r="26" spans="1:21">
      <c r="A26" s="15">
        <v>59866</v>
      </c>
      <c r="B26" s="20" t="s">
        <v>25</v>
      </c>
      <c r="C26" s="17">
        <v>45306</v>
      </c>
      <c r="D26" s="18">
        <v>12</v>
      </c>
      <c r="E26" s="18">
        <v>371563</v>
      </c>
      <c r="F26" s="18">
        <v>57225</v>
      </c>
      <c r="G26" s="18">
        <f t="shared" ref="G26" si="8">E26-F26</f>
        <v>314338</v>
      </c>
      <c r="H26" s="18">
        <f t="shared" ref="H26" si="9">ROUND(G26*$H$6,0)</f>
        <v>56581</v>
      </c>
      <c r="I26" s="18">
        <f t="shared" ref="I26" si="10">G26+H26</f>
        <v>370919</v>
      </c>
      <c r="J26" s="18">
        <f t="shared" ref="J26" si="11">ROUND(G26*$J$6,)</f>
        <v>3143</v>
      </c>
      <c r="K26" s="18">
        <f t="shared" ref="K26" si="12">ROUND(G26*$K$6,)</f>
        <v>15717</v>
      </c>
      <c r="L26" s="18">
        <f t="shared" ref="L26" si="13">G26*10%</f>
        <v>31433.800000000003</v>
      </c>
      <c r="M26" s="18">
        <f t="shared" ref="M26" si="14">ROUND(G26*$M$6,)</f>
        <v>31434</v>
      </c>
      <c r="N26" s="18">
        <v>6020</v>
      </c>
      <c r="O26" s="18">
        <f t="shared" ref="O26" si="15">H26</f>
        <v>56581</v>
      </c>
      <c r="P26" s="18">
        <f t="shared" ref="P26" si="16">ROUND(I26-SUM(J26:O26),0)</f>
        <v>226590</v>
      </c>
      <c r="Q26" s="18">
        <v>153738</v>
      </c>
      <c r="R26" s="18">
        <v>0</v>
      </c>
      <c r="S26" s="18">
        <f t="shared" si="7"/>
        <v>153738</v>
      </c>
      <c r="T26" s="19" t="s">
        <v>31</v>
      </c>
      <c r="U26" s="18"/>
    </row>
    <row r="27" spans="1:21">
      <c r="A27" s="15">
        <v>59866</v>
      </c>
      <c r="B27" s="20" t="s">
        <v>11</v>
      </c>
      <c r="C27" s="17"/>
      <c r="D27" s="18">
        <v>11</v>
      </c>
      <c r="E27" s="18">
        <f>O24</f>
        <v>109494</v>
      </c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>
        <f>E27</f>
        <v>109494</v>
      </c>
      <c r="Q27" s="18">
        <v>226591</v>
      </c>
      <c r="R27" s="18"/>
      <c r="S27" s="18">
        <f t="shared" si="7"/>
        <v>226591</v>
      </c>
      <c r="T27" s="19" t="s">
        <v>32</v>
      </c>
      <c r="U27" s="18"/>
    </row>
    <row r="28" spans="1:21">
      <c r="A28" s="15">
        <v>59866</v>
      </c>
      <c r="B28" s="20" t="s">
        <v>11</v>
      </c>
      <c r="C28" s="17"/>
      <c r="D28" s="18">
        <v>12</v>
      </c>
      <c r="E28" s="18">
        <f>O26</f>
        <v>56581</v>
      </c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>
        <f>E28</f>
        <v>56581</v>
      </c>
      <c r="Q28" s="18">
        <v>17226</v>
      </c>
      <c r="R28" s="18"/>
      <c r="S28" s="18">
        <f t="shared" si="7"/>
        <v>17226</v>
      </c>
      <c r="T28" s="19" t="s">
        <v>33</v>
      </c>
      <c r="U28" s="18"/>
    </row>
    <row r="29" spans="1:21">
      <c r="A29" s="15">
        <v>59866</v>
      </c>
      <c r="B29" s="20" t="s">
        <v>25</v>
      </c>
      <c r="C29" s="17">
        <v>45413</v>
      </c>
      <c r="D29" s="18">
        <v>1</v>
      </c>
      <c r="E29" s="18">
        <v>177787</v>
      </c>
      <c r="F29" s="18">
        <v>1</v>
      </c>
      <c r="G29" s="18">
        <f t="shared" ref="G29" si="17">E29-F29</f>
        <v>177786</v>
      </c>
      <c r="H29" s="18">
        <f t="shared" ref="H29" si="18">ROUND(G29*$H$6,0)</f>
        <v>32001</v>
      </c>
      <c r="I29" s="18">
        <f t="shared" ref="I29" si="19">G29+H29</f>
        <v>209787</v>
      </c>
      <c r="J29" s="18">
        <f t="shared" ref="J29" si="20">ROUND(G29*$J$6,)</f>
        <v>1778</v>
      </c>
      <c r="K29" s="18">
        <f t="shared" ref="K29" si="21">ROUND(G29*$K$6,)</f>
        <v>8889</v>
      </c>
      <c r="L29" s="18">
        <f t="shared" ref="L29" si="22">G29*10%</f>
        <v>17778.600000000002</v>
      </c>
      <c r="M29" s="18">
        <f t="shared" ref="M29" si="23">ROUND(G29*$M$6,)</f>
        <v>17779</v>
      </c>
      <c r="N29" s="18">
        <v>35779</v>
      </c>
      <c r="O29" s="18">
        <f t="shared" ref="O29" si="24">H29</f>
        <v>32001</v>
      </c>
      <c r="P29" s="18">
        <f t="shared" ref="P29" si="25">ROUND(I29-SUM(J29:O29),0)</f>
        <v>95782</v>
      </c>
      <c r="Q29" s="18">
        <v>166075</v>
      </c>
      <c r="R29" s="18"/>
      <c r="S29" s="18">
        <v>166075</v>
      </c>
      <c r="T29" s="19" t="s">
        <v>34</v>
      </c>
      <c r="U29" s="18"/>
    </row>
    <row r="30" spans="1:21">
      <c r="A30" s="15">
        <v>59866</v>
      </c>
      <c r="B30" s="20" t="s">
        <v>11</v>
      </c>
      <c r="C30" s="17"/>
      <c r="D30" s="18">
        <v>1</v>
      </c>
      <c r="E30" s="18">
        <f>O29</f>
        <v>32001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>
        <f>E30</f>
        <v>32001</v>
      </c>
      <c r="Q30" s="18">
        <v>150000</v>
      </c>
      <c r="S30" s="18">
        <v>148500</v>
      </c>
      <c r="T30" s="19" t="s">
        <v>35</v>
      </c>
      <c r="U30" s="18"/>
    </row>
    <row r="31" spans="1:21">
      <c r="A31" s="15">
        <v>59866</v>
      </c>
      <c r="B31" s="20" t="s">
        <v>25</v>
      </c>
      <c r="C31" s="17">
        <v>45474</v>
      </c>
      <c r="D31" s="18">
        <v>2</v>
      </c>
      <c r="E31" s="18">
        <v>157832</v>
      </c>
      <c r="F31" s="18"/>
      <c r="G31" s="18">
        <f t="shared" ref="G31" si="26">E31-F31</f>
        <v>157832</v>
      </c>
      <c r="H31" s="18">
        <f t="shared" ref="H31" si="27">ROUND(G31*$H$6,0)</f>
        <v>28410</v>
      </c>
      <c r="I31" s="18">
        <f t="shared" ref="I31" si="28">G31+H31</f>
        <v>186242</v>
      </c>
      <c r="J31" s="18">
        <f t="shared" ref="J31" si="29">ROUND(G31*$J$6,)</f>
        <v>1578</v>
      </c>
      <c r="K31" s="18">
        <f t="shared" ref="K31" si="30">ROUND(G31*$K$6,)</f>
        <v>7892</v>
      </c>
      <c r="L31" s="18">
        <f t="shared" ref="L31" si="31">G31*10%</f>
        <v>15783.2</v>
      </c>
      <c r="M31" s="18">
        <f t="shared" ref="M31" si="32">ROUND(G31*$M$6,)</f>
        <v>15783</v>
      </c>
      <c r="N31" s="18">
        <v>23100</v>
      </c>
      <c r="O31" s="18">
        <f t="shared" ref="O31" si="33">H31</f>
        <v>28410</v>
      </c>
      <c r="P31" s="18">
        <f t="shared" ref="P31" si="34">ROUND(I31-SUM(J31:O31),0)</f>
        <v>93696</v>
      </c>
      <c r="Q31" s="18">
        <v>175000</v>
      </c>
      <c r="R31" s="18"/>
      <c r="S31" s="18">
        <v>173250</v>
      </c>
      <c r="T31" s="19" t="s">
        <v>36</v>
      </c>
      <c r="U31" s="18"/>
    </row>
    <row r="32" spans="1:21">
      <c r="A32" s="15">
        <v>59866</v>
      </c>
      <c r="B32" s="20" t="s">
        <v>11</v>
      </c>
      <c r="C32" s="17"/>
      <c r="D32" s="18">
        <v>2</v>
      </c>
      <c r="E32" s="18">
        <f>H31</f>
        <v>28410</v>
      </c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>
        <f>E32</f>
        <v>28410</v>
      </c>
      <c r="Q32" s="18">
        <v>100000</v>
      </c>
      <c r="R32" s="18"/>
      <c r="S32" s="18">
        <v>99000</v>
      </c>
      <c r="T32" s="19" t="s">
        <v>37</v>
      </c>
      <c r="U32" s="18"/>
    </row>
    <row r="33" spans="1:21">
      <c r="A33" s="21">
        <v>59866</v>
      </c>
      <c r="B33" s="20" t="s">
        <v>25</v>
      </c>
      <c r="C33" s="25">
        <v>45588</v>
      </c>
      <c r="D33" s="22">
        <v>4</v>
      </c>
      <c r="E33" s="22">
        <v>777756.5</v>
      </c>
      <c r="F33" s="22">
        <v>0.5</v>
      </c>
      <c r="G33" s="18">
        <f t="shared" ref="G33" si="35">E33-F33</f>
        <v>777756</v>
      </c>
      <c r="H33" s="18">
        <f t="shared" ref="H33" si="36">ROUND(G33*$H$6,0)</f>
        <v>139996</v>
      </c>
      <c r="I33" s="18">
        <f t="shared" ref="I33" si="37">G33+H33</f>
        <v>917752</v>
      </c>
      <c r="J33" s="18">
        <f t="shared" ref="J33" si="38">ROUND(G33*$J$6,)</f>
        <v>7778</v>
      </c>
      <c r="K33" s="18">
        <f t="shared" ref="K33" si="39">ROUND(G33*$K$6,)</f>
        <v>38888</v>
      </c>
      <c r="L33" s="18">
        <f t="shared" ref="L33" si="40">G33*10%</f>
        <v>77775.600000000006</v>
      </c>
      <c r="M33" s="18">
        <f t="shared" ref="M33" si="41">ROUND(G33*$M$6,)</f>
        <v>77776</v>
      </c>
      <c r="N33" s="18">
        <f>156.07*200</f>
        <v>31214</v>
      </c>
      <c r="O33" s="18">
        <f t="shared" ref="O33" si="42">H33</f>
        <v>139996</v>
      </c>
      <c r="P33" s="18">
        <f t="shared" ref="P33" si="43">ROUND(I33-SUM(J33:O33),0)</f>
        <v>544324</v>
      </c>
      <c r="Q33" s="22">
        <v>75000</v>
      </c>
      <c r="R33" s="22"/>
      <c r="S33" s="22">
        <v>74250</v>
      </c>
      <c r="T33" s="26" t="s">
        <v>38</v>
      </c>
      <c r="U33" s="22"/>
    </row>
    <row r="34" spans="1:21">
      <c r="A34" s="21">
        <v>59866</v>
      </c>
      <c r="B34" s="20" t="s">
        <v>11</v>
      </c>
      <c r="C34" s="17"/>
      <c r="D34" s="18">
        <v>4</v>
      </c>
      <c r="E34" s="18">
        <f>H33</f>
        <v>139996</v>
      </c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>
        <f>E34</f>
        <v>139996</v>
      </c>
      <c r="Q34" s="22">
        <v>150000</v>
      </c>
      <c r="R34" s="18">
        <f>Q34*1%</f>
        <v>1500</v>
      </c>
      <c r="S34" s="22">
        <v>148500</v>
      </c>
      <c r="T34" s="26" t="s">
        <v>39</v>
      </c>
      <c r="U34" s="22"/>
    </row>
    <row r="35" spans="1:21">
      <c r="A35" s="21"/>
      <c r="B35" s="27"/>
      <c r="C35" s="25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>
        <v>49500</v>
      </c>
      <c r="T35" s="26" t="s">
        <v>40</v>
      </c>
      <c r="U35" s="22"/>
    </row>
    <row r="36" spans="1:21" ht="15.75" customHeight="1">
      <c r="A36" s="21"/>
      <c r="B36" s="27"/>
      <c r="C36" s="25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>
        <v>74250</v>
      </c>
      <c r="T36" s="26" t="s">
        <v>41</v>
      </c>
      <c r="U36" s="22"/>
    </row>
    <row r="37" spans="1:21">
      <c r="A37" s="21"/>
      <c r="B37" s="27"/>
      <c r="C37" s="25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6"/>
      <c r="U37" s="22"/>
    </row>
    <row r="38" spans="1:21">
      <c r="A38" s="21"/>
      <c r="B38" s="22"/>
      <c r="C38" s="22"/>
      <c r="D38" s="22"/>
      <c r="E38" s="23"/>
      <c r="F38" s="23"/>
      <c r="G38" s="24"/>
      <c r="H38" s="23"/>
      <c r="I38" s="23"/>
      <c r="J38" s="23"/>
      <c r="K38" s="22"/>
      <c r="L38" s="24"/>
      <c r="M38" s="23"/>
      <c r="N38" s="23"/>
      <c r="O38" s="23"/>
      <c r="P38" s="22"/>
      <c r="Q38" s="22"/>
      <c r="R38" s="23"/>
      <c r="S38" s="22"/>
      <c r="T38" s="22"/>
      <c r="U38" s="22"/>
    </row>
    <row r="39" spans="1:21">
      <c r="A39" s="15">
        <v>60139</v>
      </c>
      <c r="B39" s="20" t="s">
        <v>42</v>
      </c>
      <c r="C39" s="17">
        <v>45246</v>
      </c>
      <c r="D39" s="18">
        <v>7</v>
      </c>
      <c r="E39" s="18">
        <v>462676</v>
      </c>
      <c r="F39" s="18">
        <v>58548</v>
      </c>
      <c r="G39" s="18">
        <f>E39-F39</f>
        <v>404128</v>
      </c>
      <c r="H39" s="18">
        <f>ROUND(G39*$H$6,0)</f>
        <v>72743</v>
      </c>
      <c r="I39" s="18">
        <f>G39+H39</f>
        <v>476871</v>
      </c>
      <c r="J39" s="18">
        <f>ROUND(G39*$J$6,)</f>
        <v>4041</v>
      </c>
      <c r="K39" s="18">
        <f>ROUND(G39*$K$6,)</f>
        <v>20206</v>
      </c>
      <c r="L39" s="18">
        <f>G39*L6</f>
        <v>40412.800000000003</v>
      </c>
      <c r="M39" s="18">
        <f>ROUND(G39*$M$6,)</f>
        <v>40413</v>
      </c>
      <c r="N39" s="18">
        <v>263458</v>
      </c>
      <c r="O39" s="18">
        <f>H39</f>
        <v>72743</v>
      </c>
      <c r="P39" s="18">
        <f>ROUND(I39-SUM(J39:O39),0)</f>
        <v>35597</v>
      </c>
      <c r="Q39" s="18">
        <v>100000</v>
      </c>
      <c r="R39" s="18">
        <f>Q39*R6</f>
        <v>1000</v>
      </c>
      <c r="S39" s="18">
        <f t="shared" ref="S39" si="44">Q39-R39</f>
        <v>99000</v>
      </c>
      <c r="T39" s="19" t="s">
        <v>43</v>
      </c>
      <c r="U39" s="18">
        <f>SUM(P39:P46)-SUM(S39:S46)</f>
        <v>-724090</v>
      </c>
    </row>
    <row r="40" spans="1:21" ht="21" customHeight="1">
      <c r="A40" s="15">
        <v>60139</v>
      </c>
      <c r="B40" s="20" t="s">
        <v>11</v>
      </c>
      <c r="C40" s="17"/>
      <c r="D40" s="18">
        <v>7</v>
      </c>
      <c r="E40" s="18">
        <f>O39</f>
        <v>72743</v>
      </c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>
        <f>E40</f>
        <v>72743</v>
      </c>
      <c r="Q40" s="18">
        <v>200000</v>
      </c>
      <c r="R40" s="18">
        <f>Q40*1%</f>
        <v>2000</v>
      </c>
      <c r="S40" s="18">
        <f t="shared" ref="S40:S41" si="45">Q40-R40</f>
        <v>198000</v>
      </c>
      <c r="T40" s="19" t="s">
        <v>44</v>
      </c>
      <c r="U40" s="18"/>
    </row>
    <row r="41" spans="1:21">
      <c r="A41" s="15">
        <v>60139</v>
      </c>
      <c r="B41" s="20" t="s">
        <v>42</v>
      </c>
      <c r="C41" s="17">
        <v>45332</v>
      </c>
      <c r="D41" s="18">
        <v>13</v>
      </c>
      <c r="E41" s="18">
        <v>395306</v>
      </c>
      <c r="F41" s="18">
        <v>0</v>
      </c>
      <c r="G41" s="18">
        <f>E41-F41</f>
        <v>395306</v>
      </c>
      <c r="H41" s="18">
        <f>ROUND(G41*$H$6,0)</f>
        <v>71155</v>
      </c>
      <c r="I41" s="18">
        <f>G41+H41</f>
        <v>466461</v>
      </c>
      <c r="J41" s="18">
        <f>ROUND(G41*$J$6,)</f>
        <v>3953</v>
      </c>
      <c r="K41" s="18">
        <f>ROUND(G41*$K$6,)</f>
        <v>19765</v>
      </c>
      <c r="L41" s="18">
        <f>G41*10%</f>
        <v>39530.600000000006</v>
      </c>
      <c r="M41" s="18">
        <f>ROUND(G41*$M$6,)</f>
        <v>39531</v>
      </c>
      <c r="N41" s="18">
        <v>383509</v>
      </c>
      <c r="O41" s="18">
        <f>H41</f>
        <v>71155</v>
      </c>
      <c r="P41" s="18">
        <f>ROUND(I41-SUM(J41:O41),0)</f>
        <v>-90983</v>
      </c>
      <c r="Q41" s="18">
        <v>100000</v>
      </c>
      <c r="R41" s="18">
        <f>Q41*1%</f>
        <v>1000</v>
      </c>
      <c r="S41" s="18">
        <f t="shared" si="45"/>
        <v>99000</v>
      </c>
      <c r="T41" s="19" t="s">
        <v>45</v>
      </c>
      <c r="U41" s="18"/>
    </row>
    <row r="42" spans="1:21">
      <c r="A42" s="15">
        <v>60139</v>
      </c>
      <c r="B42" s="20" t="s">
        <v>11</v>
      </c>
      <c r="C42" s="17"/>
      <c r="D42" s="18">
        <v>13</v>
      </c>
      <c r="E42" s="18">
        <f>O41</f>
        <v>71155</v>
      </c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>
        <f>E42</f>
        <v>71155</v>
      </c>
      <c r="Q42" s="18">
        <v>200000</v>
      </c>
      <c r="R42" s="18">
        <f>Q42*1%</f>
        <v>2000</v>
      </c>
      <c r="S42" s="18">
        <f t="shared" ref="S42" si="46">Q42-R42</f>
        <v>198000</v>
      </c>
      <c r="T42" s="19" t="s">
        <v>46</v>
      </c>
      <c r="U42" s="18"/>
    </row>
    <row r="43" spans="1:21">
      <c r="A43" s="15">
        <v>60139</v>
      </c>
      <c r="B43" s="20" t="s">
        <v>42</v>
      </c>
      <c r="C43" s="17">
        <v>45588</v>
      </c>
      <c r="D43" s="18">
        <v>5</v>
      </c>
      <c r="E43" s="18">
        <v>187004.65</v>
      </c>
      <c r="F43" s="18">
        <v>171675</v>
      </c>
      <c r="G43" s="18">
        <f>E43-F43</f>
        <v>15329.649999999994</v>
      </c>
      <c r="H43" s="18">
        <f>ROUND(G43*$H$6,0)</f>
        <v>2759</v>
      </c>
      <c r="I43" s="18">
        <f>G43+H43</f>
        <v>18088.649999999994</v>
      </c>
      <c r="J43" s="18">
        <f>ROUND(G43*$J$6,)</f>
        <v>153</v>
      </c>
      <c r="K43" s="18">
        <f>ROUND(G43*$K$6,)</f>
        <v>766</v>
      </c>
      <c r="L43" s="18">
        <f>G43*10%</f>
        <v>1532.9649999999995</v>
      </c>
      <c r="M43" s="18">
        <f>ROUND(G43*$M$6,)</f>
        <v>1533</v>
      </c>
      <c r="N43" s="18">
        <f>(130.38*200+26.15*330)</f>
        <v>34705.5</v>
      </c>
      <c r="O43" s="18">
        <f>H43</f>
        <v>2759</v>
      </c>
      <c r="P43" s="18">
        <f>ROUND(I43-SUM(J43:O43),0)</f>
        <v>-23361</v>
      </c>
      <c r="Q43" s="18">
        <v>100000</v>
      </c>
      <c r="R43" s="18">
        <f>Q43*1%</f>
        <v>1000</v>
      </c>
      <c r="S43" s="18">
        <v>99000</v>
      </c>
      <c r="T43" s="19" t="s">
        <v>47</v>
      </c>
      <c r="U43" s="18"/>
    </row>
    <row r="44" spans="1:21">
      <c r="A44" s="15">
        <v>60139</v>
      </c>
      <c r="B44" s="20" t="s">
        <v>11</v>
      </c>
      <c r="C44" s="17"/>
      <c r="D44" s="18">
        <v>5</v>
      </c>
      <c r="E44" s="18">
        <f>O43</f>
        <v>2759</v>
      </c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>
        <f>E44</f>
        <v>2759</v>
      </c>
      <c r="Q44" s="18">
        <v>100000</v>
      </c>
      <c r="R44" s="18">
        <f>Q44*1%</f>
        <v>1000</v>
      </c>
      <c r="S44" s="18">
        <v>99000</v>
      </c>
      <c r="T44" s="19" t="s">
        <v>48</v>
      </c>
      <c r="U44" s="18"/>
    </row>
    <row r="45" spans="1:21">
      <c r="A45" s="15"/>
      <c r="B45" s="20"/>
      <c r="C45" s="17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9"/>
      <c r="U45" s="18"/>
    </row>
    <row r="46" spans="1:21">
      <c r="A46" s="15"/>
      <c r="B46" s="20"/>
      <c r="C46" s="17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9"/>
      <c r="U46" s="18"/>
    </row>
    <row r="47" spans="1:21">
      <c r="A47" s="28"/>
      <c r="B47" s="22"/>
      <c r="C47" s="22"/>
      <c r="D47" s="22"/>
      <c r="E47" s="23"/>
      <c r="F47" s="23"/>
      <c r="G47" s="24"/>
      <c r="H47" s="23"/>
      <c r="I47" s="23"/>
      <c r="J47" s="23"/>
      <c r="K47" s="22"/>
      <c r="L47" s="24"/>
      <c r="M47" s="23"/>
      <c r="N47" s="23"/>
      <c r="O47" s="23"/>
      <c r="P47" s="22"/>
      <c r="Q47" s="22"/>
      <c r="R47" s="23"/>
      <c r="S47" s="22"/>
      <c r="T47" s="22"/>
      <c r="U47" s="22"/>
    </row>
    <row r="48" spans="1:21">
      <c r="A48" s="29">
        <v>66105</v>
      </c>
      <c r="B48" s="30" t="s">
        <v>49</v>
      </c>
      <c r="C48" s="31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3"/>
      <c r="U48" s="18">
        <f>SUM(P48:P49)-SUM(S48:S49)</f>
        <v>0</v>
      </c>
    </row>
    <row r="49" spans="1:21">
      <c r="A49" s="34"/>
      <c r="B49" s="20"/>
      <c r="C49" s="17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9"/>
      <c r="U49" s="18"/>
    </row>
    <row r="50" spans="1:21">
      <c r="A50" s="28"/>
      <c r="B50" s="22"/>
      <c r="C50" s="22"/>
      <c r="D50" s="22"/>
      <c r="E50" s="23"/>
      <c r="F50" s="23"/>
      <c r="G50" s="24"/>
      <c r="H50" s="23"/>
      <c r="I50" s="23"/>
      <c r="J50" s="23"/>
      <c r="K50" s="22"/>
      <c r="L50" s="24"/>
      <c r="M50" s="23"/>
      <c r="N50" s="23"/>
      <c r="O50" s="23"/>
      <c r="P50" s="22"/>
      <c r="Q50" s="22"/>
      <c r="R50" s="23"/>
      <c r="S50" s="22"/>
      <c r="T50" s="22"/>
      <c r="U50" s="22"/>
    </row>
    <row r="51" spans="1:21">
      <c r="A51" s="35">
        <v>66152</v>
      </c>
      <c r="B51" s="30" t="s">
        <v>50</v>
      </c>
      <c r="C51" s="31">
        <v>45591</v>
      </c>
      <c r="D51" s="32">
        <v>6</v>
      </c>
      <c r="E51" s="32">
        <v>119910</v>
      </c>
      <c r="F51" s="32">
        <v>0</v>
      </c>
      <c r="G51" s="18">
        <f>E51-F51</f>
        <v>119910</v>
      </c>
      <c r="H51" s="18">
        <f>ROUND(G51*$H$6,0)</f>
        <v>21584</v>
      </c>
      <c r="I51" s="18">
        <f>G51+H51</f>
        <v>141494</v>
      </c>
      <c r="J51" s="18">
        <f>ROUND(G51*$J$6,)</f>
        <v>1199</v>
      </c>
      <c r="K51" s="18">
        <f>ROUND(G51*$K$6,)</f>
        <v>5996</v>
      </c>
      <c r="L51" s="18"/>
      <c r="M51" s="18"/>
      <c r="N51" s="18"/>
      <c r="O51" s="18">
        <f>H51</f>
        <v>21584</v>
      </c>
      <c r="P51" s="18">
        <f>ROUND(I51-SUM(J51:O51),0)</f>
        <v>112715</v>
      </c>
      <c r="Q51" s="32"/>
      <c r="R51" s="32"/>
      <c r="S51" s="32">
        <v>69300</v>
      </c>
      <c r="T51" s="33" t="s">
        <v>51</v>
      </c>
      <c r="U51" s="18">
        <f>SUM(P51:P52)-SUM(S51:S52)</f>
        <v>64999</v>
      </c>
    </row>
    <row r="52" spans="1:21">
      <c r="A52" s="35">
        <v>66152</v>
      </c>
      <c r="B52" s="20" t="s">
        <v>11</v>
      </c>
      <c r="C52" s="17"/>
      <c r="D52" s="18">
        <v>6</v>
      </c>
      <c r="E52" s="18">
        <f>O51</f>
        <v>21584</v>
      </c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>
        <f>E52</f>
        <v>21584</v>
      </c>
      <c r="Q52" s="32"/>
      <c r="R52" s="32"/>
      <c r="S52" s="32"/>
      <c r="T52" s="33"/>
      <c r="U52" s="32"/>
    </row>
    <row r="53" spans="1:21">
      <c r="A53" s="28"/>
      <c r="B53" s="22"/>
      <c r="C53" s="22"/>
      <c r="D53" s="22"/>
      <c r="E53" s="23"/>
      <c r="F53" s="23"/>
      <c r="G53" s="24"/>
      <c r="H53" s="23"/>
      <c r="I53" s="23"/>
      <c r="J53" s="23"/>
      <c r="K53" s="22"/>
      <c r="L53" s="24"/>
      <c r="M53" s="23"/>
      <c r="N53" s="23"/>
      <c r="O53" s="23"/>
      <c r="P53" s="22"/>
      <c r="Q53" s="22"/>
      <c r="R53" s="23"/>
      <c r="S53" s="22"/>
      <c r="T53" s="22"/>
      <c r="U53" s="22"/>
    </row>
    <row r="54" spans="1:21" ht="28.5">
      <c r="A54" s="35">
        <v>66621</v>
      </c>
      <c r="B54" s="30" t="s">
        <v>55</v>
      </c>
      <c r="C54" s="31">
        <v>45608</v>
      </c>
      <c r="D54" s="32">
        <v>7</v>
      </c>
      <c r="E54" s="32">
        <v>393795</v>
      </c>
      <c r="F54" s="32">
        <v>0</v>
      </c>
      <c r="G54" s="18">
        <f>E54-F54</f>
        <v>393795</v>
      </c>
      <c r="H54" s="18">
        <f>ROUND(G54*$H$6,0)</f>
        <v>70883</v>
      </c>
      <c r="I54" s="18">
        <f>G54+H54</f>
        <v>464678</v>
      </c>
      <c r="J54" s="18">
        <f>ROUND(G54*$J$6,)</f>
        <v>3938</v>
      </c>
      <c r="K54" s="18">
        <f>ROUND(G54*$K$6,)</f>
        <v>19690</v>
      </c>
      <c r="L54" s="18">
        <f>G54*10%</f>
        <v>39379.5</v>
      </c>
      <c r="M54" s="18">
        <f>G54*10%</f>
        <v>39379.5</v>
      </c>
      <c r="N54" s="18">
        <v>120888</v>
      </c>
      <c r="O54" s="18">
        <f>H54</f>
        <v>70883</v>
      </c>
      <c r="P54" s="18">
        <f>ROUND(I54-SUM(J54:O54),0)</f>
        <v>170520</v>
      </c>
      <c r="Q54" s="32"/>
      <c r="R54" s="32"/>
      <c r="S54" s="32">
        <v>99000</v>
      </c>
      <c r="T54" s="33" t="s">
        <v>52</v>
      </c>
      <c r="U54" s="18">
        <f>SUM(P54:P55)-SUM(S54:S55)</f>
        <v>71520</v>
      </c>
    </row>
    <row r="55" spans="1:21">
      <c r="A55" s="35"/>
      <c r="B55" s="30"/>
      <c r="C55" s="31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3"/>
      <c r="U55" s="32"/>
    </row>
    <row r="56" spans="1:21">
      <c r="A56" s="35"/>
      <c r="B56" s="30"/>
      <c r="C56" s="31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3"/>
      <c r="U56" s="32"/>
    </row>
    <row r="57" spans="1:21">
      <c r="A57" s="35"/>
      <c r="B57" s="30"/>
      <c r="C57" s="31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3"/>
      <c r="U57" s="32"/>
    </row>
    <row r="58" spans="1:21">
      <c r="A58" s="35"/>
      <c r="B58" s="30"/>
      <c r="C58" s="31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3"/>
      <c r="U58" s="32"/>
    </row>
    <row r="59" spans="1:21">
      <c r="A59" s="35"/>
      <c r="B59" s="30"/>
      <c r="C59" s="31"/>
      <c r="D59" s="31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3"/>
      <c r="U59" s="32"/>
    </row>
  </sheetData>
  <pageMargins left="0.7" right="0.7" top="0.75" bottom="0.75" header="0.3" footer="0.3"/>
  <pageSetup orientation="portrait" r:id="rId1"/>
  <ignoredErrors>
    <ignoredError sqref="P8 P10 P23:P26 P14 P38:P4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2024-05-17T09:37:00Z</cp:lastPrinted>
  <dcterms:created xsi:type="dcterms:W3CDTF">2022-06-10T14:11:00Z</dcterms:created>
  <dcterms:modified xsi:type="dcterms:W3CDTF">2025-03-08T09:48:30Z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4C5B74FBC8E944C3A7904810E58A0938_12</vt:lpwstr>
  </property>
  <property fmtid="{D5CDD505-2E9C-101B-9397-08002B2CF9AE}" pid="3" name="KSOProductBuildVer">
    <vt:lpwstr>1033-12.2.0.19805</vt:lpwstr>
  </property>
</Properties>
</file>