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7" i="1" l="1"/>
  <c r="N44" i="1" l="1"/>
  <c r="O35" i="1"/>
  <c r="N43" i="1"/>
  <c r="N45" i="1"/>
  <c r="T21" i="1"/>
  <c r="T17" i="1"/>
  <c r="T33" i="1"/>
  <c r="T27" i="1"/>
  <c r="T13" i="1"/>
  <c r="P11" i="1"/>
  <c r="P10" i="1"/>
  <c r="G28" i="1"/>
  <c r="G18" i="1"/>
  <c r="M18" i="1" s="1"/>
  <c r="G22" i="1"/>
  <c r="K22" i="1" s="1"/>
  <c r="Q27" i="1"/>
  <c r="Q21" i="1"/>
  <c r="G9" i="1"/>
  <c r="M9" i="1" s="1"/>
  <c r="Q17" i="1"/>
  <c r="Q13" i="1"/>
  <c r="Q7" i="1"/>
  <c r="J18" i="1" l="1"/>
  <c r="J22" i="1"/>
  <c r="K18" i="1"/>
  <c r="H18" i="1"/>
  <c r="L18" i="1"/>
  <c r="H22" i="1"/>
  <c r="H28" i="1"/>
  <c r="N28" i="1" s="1"/>
  <c r="J28" i="1"/>
  <c r="K28" i="1"/>
  <c r="H9" i="1"/>
  <c r="N9" i="1" s="1"/>
  <c r="J9" i="1"/>
  <c r="K9" i="1"/>
  <c r="L9" i="1"/>
  <c r="G8" i="1"/>
  <c r="K8" i="1" s="1"/>
  <c r="I28" i="1" l="1"/>
  <c r="P28" i="1" s="1"/>
  <c r="N18" i="1"/>
  <c r="I18" i="1"/>
  <c r="K35" i="1"/>
  <c r="N22" i="1"/>
  <c r="E23" i="1" s="1"/>
  <c r="P23" i="1" s="1"/>
  <c r="I22" i="1"/>
  <c r="P22" i="1" s="1"/>
  <c r="I9" i="1"/>
  <c r="P9" i="1" s="1"/>
  <c r="E29" i="1"/>
  <c r="P29" i="1" s="1"/>
  <c r="L8" i="1"/>
  <c r="L35" i="1" s="1"/>
  <c r="M8" i="1"/>
  <c r="M35" i="1" s="1"/>
  <c r="H8" i="1"/>
  <c r="N8" i="1" s="1"/>
  <c r="J8" i="1"/>
  <c r="N35" i="1" l="1"/>
  <c r="P18" i="1"/>
  <c r="I8" i="1"/>
  <c r="P8" i="1" s="1"/>
  <c r="G14" i="1" l="1"/>
  <c r="I14" i="1" s="1"/>
  <c r="J14" i="1" l="1"/>
  <c r="R35" i="1"/>
  <c r="P14" i="1" l="1"/>
  <c r="P35" i="1" s="1"/>
  <c r="R37" i="1" s="1"/>
  <c r="J35" i="1"/>
</calcChain>
</file>

<file path=xl/sharedStrings.xml><?xml version="1.0" encoding="utf-8"?>
<sst xmlns="http://schemas.openxmlformats.org/spreadsheetml/2006/main" count="61" uniqueCount="57">
  <si>
    <t>Amount</t>
  </si>
  <si>
    <t>UTR</t>
  </si>
  <si>
    <t>Pipeline Laying work</t>
  </si>
  <si>
    <t>M/s Ankita Infratech</t>
  </si>
  <si>
    <t>30-01-2023 NEFT/AXISP00358212247/RIUP22/2045/ANKITA INFRATEC ₹ 2,47,500.00</t>
  </si>
  <si>
    <t>18-03-2023 NEFT/AXISP00372424203/RIUP22/2664/ANKITA INFRATEC 99000.00</t>
  </si>
  <si>
    <t>21-01-2023 NEFT/AXISP00356449518/RIUP22/1933/ANKITA INFRATEC ₹ 1,48,500.00</t>
  </si>
  <si>
    <t>Sadpur Village Pipeline laying work</t>
  </si>
  <si>
    <t>15-12-2022 NEFT/AXISP00346453824/RIUP22/1526/ANKITA INFRATEC 247500.00</t>
  </si>
  <si>
    <t>08-03-2023 NEFT/AXISP00369766192/RIUP22/2505/ANKITA INFRATEC 148500.00</t>
  </si>
  <si>
    <t>08-08-2023 NEFT/AXISP00413896720/RIUP23/1098/ANKITA INFRATEC 272023.00</t>
  </si>
  <si>
    <t>Tigri Village  Boundary Linework</t>
  </si>
  <si>
    <t>17-06-2022 NEFT/AXISP00296770063/RIUP22/215/ANKITA INFRATECH 99000.00</t>
  </si>
  <si>
    <t>24-10-2022 NEFT/AXISP00331202727/RIUP22/1107/ANKITA INFRATEC 247500.00</t>
  </si>
  <si>
    <t>25-04-2023 25-04-2023 NEFT/AXISP00384260582/SPUP23/0283/ANKITA INFRATECH 28476.00</t>
  </si>
  <si>
    <t>02-05-2023 NEFT/AXISP00386545787/SPUP23/0343/ANKITA INFRATECH 90468.00</t>
  </si>
  <si>
    <t>GST Release note</t>
  </si>
  <si>
    <t>17-06-2022 NEFT/AXISP00296770064/RIUP22/230/ANKITA INFRATECH 99000.00</t>
  </si>
  <si>
    <t>01-10-2022 NEFT/AXISP00324596978/RIUP22/875/ANKITA INFRATECH 198000.00</t>
  </si>
  <si>
    <t>20-10-2022 NEFT/AXISP00330179779/RIUP22/1017/ANKITA INFRATEC 89400.00</t>
  </si>
  <si>
    <t>26-04-2023 26-04-2023 NEFT/AXISP00384417481/SPUP23/0250/ANKITA INFRATECH 81900.00</t>
  </si>
  <si>
    <t>Badh Village  Boundary Linework</t>
  </si>
  <si>
    <t>GST</t>
  </si>
  <si>
    <t>9 or 20</t>
  </si>
  <si>
    <t>02-11-2023 NEFT/AXISP00439799508/RIUP23/3041/ANKITA INFRATECH/BARB0BARHXX 72647.00</t>
  </si>
  <si>
    <t>08-11-2023 NEFT/AXISP00441999422/RIUP23/3042/ANKITA INFRATECH/BARB0BARHXX 95877.00</t>
  </si>
  <si>
    <t>Bill not booked</t>
  </si>
  <si>
    <t>Total Hold ( SD+OC+HT )</t>
  </si>
  <si>
    <t>DPR Excess Hold</t>
  </si>
  <si>
    <t>Advance / Surplus</t>
  </si>
  <si>
    <t>Debit</t>
  </si>
  <si>
    <t>GST Remaining</t>
  </si>
  <si>
    <t>SIKHREDA JAMALPUR BANGAR village Pipe Line Work at Village-SIKHREDA JAMALPUR BANGAR</t>
  </si>
  <si>
    <t>SIKHREDA JAMALPUR BANGAR Village Pipe Line Work at Village-SIKHREDA JAMALPUR BANGAR</t>
  </si>
  <si>
    <t>Subcontractor:</t>
  </si>
  <si>
    <t>State:</t>
  </si>
  <si>
    <t>District:</t>
  </si>
  <si>
    <t>Block:</t>
  </si>
  <si>
    <t>Ankita Infratech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</si>
  <si>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</si>
  <si>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</si>
  <si>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</si>
  <si>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</si>
  <si>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</si>
  <si>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</si>
  <si>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</si>
  <si>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</si>
  <si>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</si>
  <si>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</si>
  <si>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</si>
  <si>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</si>
  <si>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</si>
  <si>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</si>
  <si>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</si>
  <si>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</si>
  <si>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</si>
  <si>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Hold the Amount because the Qty. is more then the DPR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</si>
</sst>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3" tint="0.39997558519241921"/>
      <name val="Calibri Light"/>
      <family val="2"/>
      <scheme val="major"/>
    </font>
    <font>
      <b/>
      <sz val="12"/>
      <color theme="4" tint="-0.249977111117893"/>
      <name val="Calibri Light"/>
      <family val="2"/>
      <scheme val="major"/>
    </font>
    <font>
      <sz val="12"/>
      <color rgb="FF333333"/>
      <name val="Calibri Light"/>
      <family val="2"/>
      <scheme val="major"/>
    </font>
    <font>
      <sz val="9"/>
      <color theme="1"/>
      <name val="Comic Sans MS"/>
      <family val="4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 tint="0.39997558519241921"/>
      <name val="Arial Black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43" fontId="2" fillId="2" borderId="0" xfId="1" applyNumberFormat="1" applyFont="1" applyFill="1" applyBorder="1" applyAlignment="1">
      <alignment vertical="center"/>
    </xf>
    <xf numFmtId="43" fontId="4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43" fontId="2" fillId="2" borderId="0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43" fontId="2" fillId="2" borderId="9" xfId="1" applyNumberFormat="1" applyFont="1" applyFill="1" applyBorder="1" applyAlignment="1">
      <alignment vertical="center"/>
    </xf>
    <xf numFmtId="43" fontId="2" fillId="2" borderId="6" xfId="1" applyNumberFormat="1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43" fontId="2" fillId="2" borderId="7" xfId="1" applyNumberFormat="1" applyFont="1" applyFill="1" applyBorder="1" applyAlignment="1">
      <alignment vertical="center"/>
    </xf>
    <xf numFmtId="43" fontId="2" fillId="2" borderId="10" xfId="1" applyNumberFormat="1" applyFont="1" applyFill="1" applyBorder="1" applyAlignment="1">
      <alignment vertical="center"/>
    </xf>
    <xf numFmtId="43" fontId="2" fillId="2" borderId="5" xfId="1" applyNumberFormat="1" applyFont="1" applyFill="1" applyBorder="1" applyAlignment="1">
      <alignment vertical="center"/>
    </xf>
    <xf numFmtId="43" fontId="2" fillId="2" borderId="8" xfId="1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15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3" fontId="2" fillId="3" borderId="9" xfId="1" applyNumberFormat="1" applyFont="1" applyFill="1" applyBorder="1" applyAlignment="1">
      <alignment vertical="center"/>
    </xf>
    <xf numFmtId="43" fontId="2" fillId="3" borderId="3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15" fontId="7" fillId="2" borderId="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43" fontId="7" fillId="2" borderId="4" xfId="1" applyNumberFormat="1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/>
    </xf>
    <xf numFmtId="43" fontId="2" fillId="2" borderId="15" xfId="1" applyNumberFormat="1" applyFont="1" applyFill="1" applyBorder="1" applyAlignment="1">
      <alignment vertical="center"/>
    </xf>
    <xf numFmtId="43" fontId="2" fillId="3" borderId="15" xfId="1" applyNumberFormat="1" applyFont="1" applyFill="1" applyBorder="1" applyAlignment="1">
      <alignment vertical="center"/>
    </xf>
    <xf numFmtId="0" fontId="6" fillId="0" borderId="15" xfId="0" applyFont="1" applyBorder="1"/>
    <xf numFmtId="0" fontId="6" fillId="0" borderId="15" xfId="0" applyFont="1" applyBorder="1" applyAlignment="1">
      <alignment wrapText="1"/>
    </xf>
    <xf numFmtId="0" fontId="2" fillId="0" borderId="15" xfId="0" applyFont="1" applyBorder="1" applyAlignment="1">
      <alignment vertical="center"/>
    </xf>
    <xf numFmtId="0" fontId="2" fillId="0" borderId="15" xfId="0" applyFont="1" applyBorder="1" applyAlignment="1">
      <alignment vertical="center" wrapText="1"/>
    </xf>
    <xf numFmtId="0" fontId="2" fillId="2" borderId="10" xfId="0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0" fontId="3" fillId="2" borderId="16" xfId="0" applyFont="1" applyFill="1" applyBorder="1" applyAlignment="1">
      <alignment horizontal="center" vertical="center" wrapText="1"/>
    </xf>
    <xf numFmtId="43" fontId="2" fillId="2" borderId="17" xfId="1" applyNumberFormat="1" applyFont="1" applyFill="1" applyBorder="1" applyAlignment="1">
      <alignment vertical="center"/>
    </xf>
    <xf numFmtId="43" fontId="7" fillId="2" borderId="15" xfId="1" applyNumberFormat="1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43" fontId="2" fillId="2" borderId="19" xfId="1" applyNumberFormat="1" applyFont="1" applyFill="1" applyBorder="1" applyAlignment="1">
      <alignment vertical="center"/>
    </xf>
    <xf numFmtId="43" fontId="2" fillId="2" borderId="20" xfId="1" applyNumberFormat="1" applyFont="1" applyFill="1" applyBorder="1" applyAlignment="1">
      <alignment vertical="center"/>
    </xf>
    <xf numFmtId="43" fontId="2" fillId="2" borderId="18" xfId="1" applyNumberFormat="1" applyFont="1" applyFill="1" applyBorder="1" applyAlignment="1">
      <alignment vertical="center"/>
    </xf>
    <xf numFmtId="43" fontId="2" fillId="2" borderId="13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2" fillId="2" borderId="16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2" fillId="2" borderId="14" xfId="1" applyNumberFormat="1" applyFont="1" applyFill="1" applyBorder="1" applyAlignment="1">
      <alignment vertical="center"/>
    </xf>
    <xf numFmtId="9" fontId="2" fillId="2" borderId="5" xfId="1" applyNumberFormat="1" applyFont="1" applyFill="1" applyBorder="1" applyAlignment="1">
      <alignment vertical="center"/>
    </xf>
    <xf numFmtId="0" fontId="3" fillId="2" borderId="1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/>
    </xf>
    <xf numFmtId="43" fontId="2" fillId="4" borderId="1" xfId="1" applyNumberFormat="1" applyFont="1" applyFill="1" applyBorder="1" applyAlignment="1">
      <alignment vertical="center"/>
    </xf>
    <xf numFmtId="9" fontId="2" fillId="4" borderId="1" xfId="1" applyNumberFormat="1" applyFont="1" applyFill="1" applyBorder="1" applyAlignment="1">
      <alignment vertical="center"/>
    </xf>
    <xf numFmtId="43" fontId="2" fillId="4" borderId="2" xfId="1" applyNumberFormat="1" applyFont="1" applyFill="1" applyBorder="1" applyAlignment="1">
      <alignment vertical="center"/>
    </xf>
    <xf numFmtId="0" fontId="3" fillId="4" borderId="11" xfId="0" applyFont="1" applyFill="1" applyBorder="1" applyAlignment="1">
      <alignment horizontal="center" vertical="center" wrapText="1"/>
    </xf>
    <xf numFmtId="43" fontId="2" fillId="4" borderId="3" xfId="1" applyNumberFormat="1" applyFont="1" applyFill="1" applyBorder="1" applyAlignment="1">
      <alignment vertical="center"/>
    </xf>
    <xf numFmtId="43" fontId="7" fillId="3" borderId="15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3" fontId="2" fillId="2" borderId="0" xfId="0" applyNumberFormat="1" applyFont="1" applyFill="1" applyAlignment="1">
      <alignment vertical="center"/>
    </xf>
    <xf numFmtId="43" fontId="10" fillId="2" borderId="0" xfId="1" applyNumberFormat="1" applyFont="1" applyFill="1" applyBorder="1" applyAlignment="1">
      <alignment vertical="center"/>
    </xf>
    <xf numFmtId="0" fontId="11" fillId="0" borderId="0" xfId="0" applyFont="1"/>
    <xf numFmtId="0" fontId="0" fillId="0" borderId="0" xfId="0" applyFont="1"/>
    <xf numFmtId="0" fontId="11" fillId="2" borderId="24" xfId="0" applyFont="1" applyFill="1" applyBorder="1" applyAlignment="1">
      <alignment vertical="center"/>
    </xf>
    <xf numFmtId="0" fontId="11" fillId="2" borderId="24" xfId="0" applyFont="1" applyFill="1" applyBorder="1" applyAlignment="1">
      <alignment horizontal="center" vertical="center" wrapText="1"/>
    </xf>
    <xf numFmtId="14" fontId="11" fillId="2" borderId="2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43" fontId="12" fillId="2" borderId="24" xfId="1" applyNumberFormat="1" applyFont="1" applyFill="1" applyBorder="1" applyAlignment="1">
      <alignment horizontal="center" vertical="center"/>
    </xf>
    <xf numFmtId="43" fontId="11" fillId="2" borderId="24" xfId="1" applyNumberFormat="1" applyFont="1" applyFill="1" applyBorder="1" applyAlignment="1">
      <alignment horizontal="center" vertical="center"/>
    </xf>
    <xf numFmtId="43" fontId="9" fillId="2" borderId="21" xfId="1" applyNumberFormat="1" applyFont="1" applyFill="1" applyBorder="1" applyAlignment="1">
      <alignment horizontal="center" vertical="center"/>
    </xf>
    <xf numFmtId="165" fontId="9" fillId="2" borderId="21" xfId="0" applyNumberFormat="1" applyFont="1" applyFill="1" applyBorder="1" applyAlignment="1">
      <alignment horizontal="center" vertical="center"/>
    </xf>
    <xf numFmtId="43" fontId="9" fillId="2" borderId="22" xfId="1" applyNumberFormat="1" applyFont="1" applyFill="1" applyBorder="1" applyAlignment="1">
      <alignment horizontal="center" vertical="center"/>
    </xf>
    <xf numFmtId="43" fontId="9" fillId="2" borderId="23" xfId="1" applyNumberFormat="1" applyFont="1" applyFill="1" applyBorder="1" applyAlignment="1">
      <alignment horizontal="center" vertical="center"/>
    </xf>
    <xf numFmtId="165" fontId="9" fillId="2" borderId="22" xfId="0" applyNumberFormat="1" applyFont="1" applyFill="1" applyBorder="1" applyAlignment="1">
      <alignment horizontal="center" vertical="center"/>
    </xf>
    <xf numFmtId="165" fontId="9" fillId="2" borderId="23" xfId="0" applyNumberFormat="1" applyFont="1" applyFill="1" applyBorder="1" applyAlignment="1">
      <alignment horizontal="center" vertical="center"/>
    </xf>
    <xf numFmtId="43" fontId="8" fillId="2" borderId="2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zoomScale="90" zoomScaleNormal="90" workbookViewId="0">
      <selection activeCell="O5" sqref="O5"/>
    </sheetView>
  </sheetViews>
  <sheetFormatPr defaultColWidth="16.42578125" defaultRowHeight="15.75" x14ac:dyDescent="0.25"/>
  <cols>
    <col min="1" max="1" width="6.85546875" style="5" customWidth="1"/>
    <col min="2" max="2" width="34.7109375" style="5" customWidth="1"/>
    <col min="3" max="7" width="16.42578125" style="5"/>
    <col min="8" max="9" width="16.42578125" style="1"/>
    <col min="10" max="15" width="16.42578125" style="5"/>
    <col min="16" max="16" width="18.140625" style="5" bestFit="1" customWidth="1"/>
    <col min="17" max="17" width="16.42578125" style="5"/>
    <col min="18" max="18" width="22" style="5" bestFit="1" customWidth="1"/>
    <col min="19" max="19" width="104.85546875" style="5" bestFit="1" customWidth="1"/>
    <col min="20" max="16384" width="16.42578125" style="5"/>
  </cols>
  <sheetData>
    <row r="1" spans="1:20" x14ac:dyDescent="0.25">
      <c r="A1" s="69" t="s">
        <v>34</v>
      </c>
      <c r="B1" s="22" t="s">
        <v>38</v>
      </c>
      <c r="E1" s="23"/>
      <c r="F1" s="23"/>
      <c r="G1" s="23"/>
    </row>
    <row r="2" spans="1:20" ht="19.5" x14ac:dyDescent="0.25">
      <c r="A2" s="69" t="s">
        <v>35</v>
      </c>
      <c r="B2" s="70" t="s">
        <v>39</v>
      </c>
      <c r="C2" s="2"/>
      <c r="D2" s="68" t="s">
        <v>3</v>
      </c>
      <c r="H2" s="3" t="s">
        <v>2</v>
      </c>
      <c r="I2" s="4"/>
    </row>
    <row r="3" spans="1:20" ht="19.5" x14ac:dyDescent="0.25">
      <c r="A3" s="69" t="s">
        <v>36</v>
      </c>
      <c r="B3" s="70" t="s">
        <v>40</v>
      </c>
      <c r="C3" s="2"/>
      <c r="D3" s="68"/>
      <c r="H3" s="3"/>
      <c r="I3" s="4"/>
    </row>
    <row r="4" spans="1:20" ht="15.75" customHeight="1" thickBot="1" x14ac:dyDescent="0.3">
      <c r="A4" s="69" t="s">
        <v>37</v>
      </c>
      <c r="B4" s="70" t="s">
        <v>40</v>
      </c>
      <c r="R4" s="6"/>
      <c r="S4" s="6"/>
    </row>
    <row r="5" spans="1:20" ht="78.75" x14ac:dyDescent="0.25">
      <c r="A5" s="71" t="s">
        <v>41</v>
      </c>
      <c r="B5" s="72" t="s">
        <v>42</v>
      </c>
      <c r="C5" s="73" t="s">
        <v>43</v>
      </c>
      <c r="D5" s="74" t="s">
        <v>44</v>
      </c>
      <c r="E5" s="72" t="s">
        <v>45</v>
      </c>
      <c r="F5" s="72" t="s">
        <v>46</v>
      </c>
      <c r="G5" s="74" t="s">
        <v>47</v>
      </c>
      <c r="H5" s="75" t="s">
        <v>48</v>
      </c>
      <c r="I5" s="76" t="s">
        <v>0</v>
      </c>
      <c r="J5" s="72" t="s">
        <v>49</v>
      </c>
      <c r="K5" s="72" t="s">
        <v>50</v>
      </c>
      <c r="L5" s="72" t="s">
        <v>51</v>
      </c>
      <c r="M5" s="72" t="s">
        <v>52</v>
      </c>
      <c r="N5" s="29" t="s">
        <v>53</v>
      </c>
      <c r="O5" s="29" t="s">
        <v>56</v>
      </c>
      <c r="P5" s="30" t="s">
        <v>54</v>
      </c>
      <c r="Q5" s="40"/>
      <c r="R5" s="72" t="s">
        <v>55</v>
      </c>
      <c r="S5" s="72" t="s">
        <v>1</v>
      </c>
    </row>
    <row r="6" spans="1:20" ht="16.5" thickBot="1" x14ac:dyDescent="0.3">
      <c r="A6" s="38"/>
      <c r="B6" s="15"/>
      <c r="C6" s="15"/>
      <c r="D6" s="15"/>
      <c r="E6" s="15"/>
      <c r="F6" s="15"/>
      <c r="G6" s="15"/>
      <c r="H6" s="15"/>
      <c r="I6" s="15"/>
      <c r="J6" s="53">
        <v>0.01</v>
      </c>
      <c r="K6" s="53">
        <v>0.05</v>
      </c>
      <c r="L6" s="53">
        <v>0.1</v>
      </c>
      <c r="M6" s="53">
        <v>0.1</v>
      </c>
      <c r="N6" s="15"/>
      <c r="O6" s="15"/>
      <c r="P6" s="16"/>
      <c r="Q6" s="54"/>
      <c r="R6" s="14"/>
      <c r="S6" s="16"/>
    </row>
    <row r="7" spans="1:20" x14ac:dyDescent="0.25">
      <c r="A7" s="57"/>
      <c r="B7" s="58"/>
      <c r="C7" s="58"/>
      <c r="D7" s="58"/>
      <c r="E7" s="58"/>
      <c r="F7" s="58"/>
      <c r="G7" s="58"/>
      <c r="H7" s="58"/>
      <c r="I7" s="58"/>
      <c r="J7" s="59"/>
      <c r="K7" s="59"/>
      <c r="L7" s="59"/>
      <c r="M7" s="59"/>
      <c r="N7" s="58"/>
      <c r="O7" s="58"/>
      <c r="P7" s="60"/>
      <c r="Q7" s="61">
        <f>A8</f>
        <v>54577</v>
      </c>
      <c r="R7" s="62"/>
      <c r="S7" s="60"/>
    </row>
    <row r="8" spans="1:20" ht="42.75" x14ac:dyDescent="0.25">
      <c r="A8" s="31">
        <v>54577</v>
      </c>
      <c r="B8" s="24" t="s">
        <v>32</v>
      </c>
      <c r="C8" s="25">
        <v>44995</v>
      </c>
      <c r="D8" s="26">
        <v>8</v>
      </c>
      <c r="E8" s="27">
        <v>419330.68</v>
      </c>
      <c r="F8" s="27">
        <v>15734</v>
      </c>
      <c r="G8" s="27">
        <f>E8-F8</f>
        <v>403596.68</v>
      </c>
      <c r="H8" s="27">
        <f>ROUND(G8*18%,)</f>
        <v>72647</v>
      </c>
      <c r="I8" s="27">
        <f>G8+H8</f>
        <v>476243.68</v>
      </c>
      <c r="J8" s="27">
        <f>G8*$J$6</f>
        <v>4035.9668000000001</v>
      </c>
      <c r="K8" s="27">
        <f>G8*5%</f>
        <v>20179.834000000003</v>
      </c>
      <c r="L8" s="27">
        <f>G8*10%</f>
        <v>40359.668000000005</v>
      </c>
      <c r="M8" s="27">
        <f>G8*10%</f>
        <v>40359.668000000005</v>
      </c>
      <c r="N8" s="27">
        <f>H8</f>
        <v>72647</v>
      </c>
      <c r="O8" s="27">
        <v>52217</v>
      </c>
      <c r="P8" s="63">
        <f>ROUND(I8-SUM(J8:O8),)</f>
        <v>246445</v>
      </c>
      <c r="Q8" s="12"/>
      <c r="R8" s="20">
        <v>247500</v>
      </c>
      <c r="S8" s="34" t="s">
        <v>4</v>
      </c>
    </row>
    <row r="9" spans="1:20" ht="57" x14ac:dyDescent="0.25">
      <c r="A9" s="31">
        <v>54577</v>
      </c>
      <c r="B9" s="24" t="s">
        <v>33</v>
      </c>
      <c r="C9" s="25">
        <v>45119</v>
      </c>
      <c r="D9" s="26" t="s">
        <v>23</v>
      </c>
      <c r="E9" s="27">
        <v>548384</v>
      </c>
      <c r="F9" s="27">
        <v>15734</v>
      </c>
      <c r="G9" s="27">
        <f>E9-F9</f>
        <v>532650</v>
      </c>
      <c r="H9" s="27">
        <f>ROUND(G9*18%,)</f>
        <v>95877</v>
      </c>
      <c r="I9" s="27">
        <f>G9+H9</f>
        <v>628527</v>
      </c>
      <c r="J9" s="27">
        <f>G9*$J$6</f>
        <v>5326.5</v>
      </c>
      <c r="K9" s="27">
        <f>G9*5%</f>
        <v>26632.5</v>
      </c>
      <c r="L9" s="27">
        <f>G9*10%</f>
        <v>53265</v>
      </c>
      <c r="M9" s="27">
        <f>G9*10%</f>
        <v>53265</v>
      </c>
      <c r="N9" s="27">
        <f>H9</f>
        <v>95877</v>
      </c>
      <c r="O9" s="27">
        <v>22081</v>
      </c>
      <c r="P9" s="63">
        <f>ROUND(I9-SUM(J9:O9),)</f>
        <v>372080</v>
      </c>
      <c r="Q9" s="12"/>
      <c r="R9" s="20">
        <v>99000</v>
      </c>
      <c r="S9" s="34" t="s">
        <v>5</v>
      </c>
    </row>
    <row r="10" spans="1:20" x14ac:dyDescent="0.25">
      <c r="A10" s="31">
        <v>54577</v>
      </c>
      <c r="B10" s="17" t="s">
        <v>22</v>
      </c>
      <c r="C10" s="18"/>
      <c r="D10" s="19">
        <v>8</v>
      </c>
      <c r="E10" s="11">
        <v>72647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33">
        <f>E10</f>
        <v>72647</v>
      </c>
      <c r="Q10" s="12"/>
      <c r="R10" s="20">
        <v>272023</v>
      </c>
      <c r="S10" s="35" t="s">
        <v>10</v>
      </c>
    </row>
    <row r="11" spans="1:20" x14ac:dyDescent="0.25">
      <c r="A11" s="31">
        <v>54577</v>
      </c>
      <c r="B11" s="64" t="s">
        <v>22</v>
      </c>
      <c r="C11" s="65"/>
      <c r="D11" s="66">
        <v>20</v>
      </c>
      <c r="E11" s="7">
        <v>95877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33">
        <f>E11</f>
        <v>95877</v>
      </c>
      <c r="Q11" s="56"/>
      <c r="R11" s="21">
        <v>72647</v>
      </c>
      <c r="S11" s="35" t="s">
        <v>24</v>
      </c>
    </row>
    <row r="12" spans="1:20" x14ac:dyDescent="0.25">
      <c r="A12" s="55"/>
      <c r="B12" s="64"/>
      <c r="C12" s="65"/>
      <c r="D12" s="6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/>
      <c r="Q12" s="56"/>
      <c r="R12" s="21">
        <v>95877</v>
      </c>
      <c r="S12" s="35" t="s">
        <v>25</v>
      </c>
    </row>
    <row r="13" spans="1:20" x14ac:dyDescent="0.25">
      <c r="A13" s="57"/>
      <c r="B13" s="58"/>
      <c r="C13" s="58"/>
      <c r="D13" s="58"/>
      <c r="E13" s="58"/>
      <c r="F13" s="58"/>
      <c r="G13" s="58"/>
      <c r="H13" s="58"/>
      <c r="I13" s="58"/>
      <c r="J13" s="59"/>
      <c r="K13" s="59"/>
      <c r="L13" s="59"/>
      <c r="M13" s="59"/>
      <c r="N13" s="58"/>
      <c r="O13" s="58"/>
      <c r="P13" s="60"/>
      <c r="Q13" s="61">
        <f>A14</f>
        <v>54389</v>
      </c>
      <c r="R13" s="62">
        <v>0</v>
      </c>
      <c r="S13" s="60"/>
      <c r="T13" s="67">
        <f>SUM(P8:P12)-SUM(R8:R12)</f>
        <v>2</v>
      </c>
    </row>
    <row r="14" spans="1:20" x14ac:dyDescent="0.25">
      <c r="A14" s="31">
        <v>54389</v>
      </c>
      <c r="B14" s="17"/>
      <c r="C14" s="18"/>
      <c r="D14" s="19"/>
      <c r="E14" s="11"/>
      <c r="F14" s="11">
        <v>0</v>
      </c>
      <c r="G14" s="11">
        <f>E14-F14</f>
        <v>0</v>
      </c>
      <c r="H14" s="11">
        <v>0</v>
      </c>
      <c r="I14" s="11">
        <f>G14+H14</f>
        <v>0</v>
      </c>
      <c r="J14" s="11">
        <f>J$6*I14</f>
        <v>0</v>
      </c>
      <c r="K14" s="11">
        <v>0</v>
      </c>
      <c r="L14" s="11"/>
      <c r="M14" s="11"/>
      <c r="N14" s="11">
        <v>0</v>
      </c>
      <c r="O14" s="11"/>
      <c r="P14" s="32">
        <f>I14-SUM(J14:N14)</f>
        <v>0</v>
      </c>
      <c r="Q14" s="12"/>
      <c r="R14" s="9">
        <v>148500</v>
      </c>
      <c r="S14" s="35" t="s">
        <v>6</v>
      </c>
    </row>
    <row r="15" spans="1:20" x14ac:dyDescent="0.25">
      <c r="A15" s="31"/>
      <c r="B15" s="17"/>
      <c r="C15" s="18"/>
      <c r="D15" s="19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32"/>
      <c r="Q15" s="12"/>
      <c r="R15" s="9"/>
      <c r="S15" s="36"/>
    </row>
    <row r="16" spans="1:20" x14ac:dyDescent="0.25">
      <c r="A16" s="31"/>
      <c r="B16" s="17"/>
      <c r="C16" s="18"/>
      <c r="D16" s="19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32"/>
      <c r="Q16" s="12"/>
      <c r="R16" s="9"/>
      <c r="S16" s="36"/>
    </row>
    <row r="17" spans="1:20" x14ac:dyDescent="0.25">
      <c r="A17" s="57"/>
      <c r="B17" s="58"/>
      <c r="C17" s="58"/>
      <c r="D17" s="58"/>
      <c r="E17" s="58"/>
      <c r="F17" s="58"/>
      <c r="G17" s="58"/>
      <c r="H17" s="58"/>
      <c r="I17" s="58"/>
      <c r="J17" s="59"/>
      <c r="K17" s="59"/>
      <c r="L17" s="59"/>
      <c r="M17" s="59"/>
      <c r="N17" s="58"/>
      <c r="O17" s="58"/>
      <c r="P17" s="60"/>
      <c r="Q17" s="61">
        <f>A18</f>
        <v>53706</v>
      </c>
      <c r="R17" s="62"/>
      <c r="S17" s="60"/>
      <c r="T17" s="67">
        <f>SUM(P14:P16)-SUM(R14:R16)</f>
        <v>-148500</v>
      </c>
    </row>
    <row r="18" spans="1:20" x14ac:dyDescent="0.25">
      <c r="A18" s="31">
        <v>53706</v>
      </c>
      <c r="B18" s="25" t="s">
        <v>7</v>
      </c>
      <c r="C18" s="25">
        <v>44995</v>
      </c>
      <c r="D18" s="27">
        <v>7</v>
      </c>
      <c r="E18" s="27">
        <v>738716</v>
      </c>
      <c r="F18" s="27">
        <v>11539</v>
      </c>
      <c r="G18" s="27">
        <f>E18-F18</f>
        <v>727177</v>
      </c>
      <c r="H18" s="27">
        <f>G18*18%</f>
        <v>130891.86</v>
      </c>
      <c r="I18" s="27">
        <f>G18+H18</f>
        <v>858068.86</v>
      </c>
      <c r="J18" s="27">
        <f>G18*1%</f>
        <v>7271.77</v>
      </c>
      <c r="K18" s="27">
        <f>5%*G18</f>
        <v>36358.85</v>
      </c>
      <c r="L18" s="27">
        <f>10%*G18</f>
        <v>72717.7</v>
      </c>
      <c r="M18" s="27">
        <f>10%*G18</f>
        <v>72717.7</v>
      </c>
      <c r="N18" s="27">
        <f>H18</f>
        <v>130891.86</v>
      </c>
      <c r="O18" s="27">
        <v>52356</v>
      </c>
      <c r="P18" s="42">
        <f>ROUND(I18-SUM(J18:O18),)</f>
        <v>485755</v>
      </c>
      <c r="Q18" s="12"/>
      <c r="R18" s="9">
        <v>247500</v>
      </c>
      <c r="S18" s="36" t="s">
        <v>8</v>
      </c>
      <c r="T18" s="5" t="s">
        <v>26</v>
      </c>
    </row>
    <row r="19" spans="1:20" x14ac:dyDescent="0.25">
      <c r="A19" s="31"/>
      <c r="B19" s="17"/>
      <c r="C19" s="18"/>
      <c r="D19" s="19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32"/>
      <c r="Q19" s="12"/>
      <c r="R19" s="9">
        <v>148500</v>
      </c>
      <c r="S19" s="36" t="s">
        <v>9</v>
      </c>
    </row>
    <row r="20" spans="1:20" x14ac:dyDescent="0.25">
      <c r="A20" s="31"/>
      <c r="B20" s="17"/>
      <c r="C20" s="18"/>
      <c r="D20" s="19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32"/>
      <c r="Q20" s="12"/>
      <c r="R20" s="9"/>
      <c r="S20" s="36"/>
    </row>
    <row r="21" spans="1:20" x14ac:dyDescent="0.25">
      <c r="A21" s="57"/>
      <c r="B21" s="58"/>
      <c r="C21" s="58"/>
      <c r="D21" s="58"/>
      <c r="E21" s="58"/>
      <c r="F21" s="58"/>
      <c r="G21" s="58"/>
      <c r="H21" s="58"/>
      <c r="I21" s="58"/>
      <c r="J21" s="59"/>
      <c r="K21" s="59"/>
      <c r="L21" s="59"/>
      <c r="M21" s="59"/>
      <c r="N21" s="58"/>
      <c r="O21" s="58"/>
      <c r="P21" s="60"/>
      <c r="Q21" s="61">
        <f>A22</f>
        <v>50934</v>
      </c>
      <c r="R21" s="62"/>
      <c r="S21" s="60"/>
      <c r="T21" s="67">
        <f>SUM(P18:P20)-SUM(R18:R20)</f>
        <v>89755</v>
      </c>
    </row>
    <row r="22" spans="1:20" x14ac:dyDescent="0.25">
      <c r="A22" s="31">
        <v>50934</v>
      </c>
      <c r="B22" s="25" t="s">
        <v>11</v>
      </c>
      <c r="C22" s="25">
        <v>44995</v>
      </c>
      <c r="D22" s="27">
        <v>4</v>
      </c>
      <c r="E22" s="27">
        <v>502600</v>
      </c>
      <c r="F22" s="27"/>
      <c r="G22" s="27">
        <f>E22-F22</f>
        <v>502600</v>
      </c>
      <c r="H22" s="27">
        <f>G22*18%</f>
        <v>90468</v>
      </c>
      <c r="I22" s="27">
        <f>G22+H22</f>
        <v>593068</v>
      </c>
      <c r="J22" s="27">
        <f>G22*1%</f>
        <v>5026</v>
      </c>
      <c r="K22" s="27">
        <f>5%*G22</f>
        <v>25130</v>
      </c>
      <c r="L22" s="27"/>
      <c r="M22" s="27"/>
      <c r="N22" s="27">
        <f>H22</f>
        <v>90468</v>
      </c>
      <c r="O22" s="27">
        <v>97468</v>
      </c>
      <c r="P22" s="63">
        <f>I22-J22-K22-L22-M22-N22-O22</f>
        <v>374976</v>
      </c>
      <c r="Q22" s="12"/>
      <c r="R22" s="20">
        <v>99000</v>
      </c>
      <c r="S22" s="36" t="s">
        <v>12</v>
      </c>
    </row>
    <row r="23" spans="1:20" x14ac:dyDescent="0.25">
      <c r="A23" s="31">
        <v>50934</v>
      </c>
      <c r="B23" s="17" t="s">
        <v>16</v>
      </c>
      <c r="C23" s="25">
        <v>44996</v>
      </c>
      <c r="D23" s="27">
        <v>7</v>
      </c>
      <c r="E23" s="27">
        <f>N22</f>
        <v>90468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33">
        <f>E23</f>
        <v>90468</v>
      </c>
      <c r="Q23" s="12"/>
      <c r="R23" s="20">
        <v>247500</v>
      </c>
      <c r="S23" s="36" t="s">
        <v>13</v>
      </c>
    </row>
    <row r="24" spans="1:20" x14ac:dyDescent="0.25">
      <c r="A24" s="31"/>
      <c r="B24" s="17"/>
      <c r="C24" s="18"/>
      <c r="D24" s="19"/>
      <c r="E24" s="11"/>
      <c r="F24" s="11"/>
      <c r="G24" s="27"/>
      <c r="H24" s="27"/>
      <c r="I24" s="27"/>
      <c r="J24" s="27"/>
      <c r="K24" s="27"/>
      <c r="L24" s="27"/>
      <c r="M24" s="27"/>
      <c r="N24" s="27"/>
      <c r="O24" s="27"/>
      <c r="P24" s="32"/>
      <c r="Q24" s="12"/>
      <c r="R24" s="20">
        <v>28476</v>
      </c>
      <c r="S24" s="37" t="s">
        <v>14</v>
      </c>
    </row>
    <row r="25" spans="1:20" x14ac:dyDescent="0.25">
      <c r="A25" s="31"/>
      <c r="B25" s="17"/>
      <c r="C25" s="18"/>
      <c r="D25" s="19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32"/>
      <c r="Q25" s="12"/>
      <c r="R25" s="20">
        <v>90468</v>
      </c>
      <c r="S25" s="36" t="s">
        <v>15</v>
      </c>
    </row>
    <row r="26" spans="1:20" x14ac:dyDescent="0.25">
      <c r="A26" s="31"/>
      <c r="B26" s="17"/>
      <c r="C26" s="18"/>
      <c r="D26" s="19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32"/>
      <c r="Q26" s="12"/>
      <c r="R26" s="9"/>
      <c r="S26" s="36"/>
    </row>
    <row r="27" spans="1:20" x14ac:dyDescent="0.25">
      <c r="A27" s="57"/>
      <c r="B27" s="58"/>
      <c r="C27" s="58"/>
      <c r="D27" s="58"/>
      <c r="E27" s="58"/>
      <c r="F27" s="58"/>
      <c r="G27" s="58"/>
      <c r="H27" s="58"/>
      <c r="I27" s="58"/>
      <c r="J27" s="59"/>
      <c r="K27" s="59"/>
      <c r="L27" s="59"/>
      <c r="M27" s="59"/>
      <c r="N27" s="58"/>
      <c r="O27" s="58"/>
      <c r="P27" s="60"/>
      <c r="Q27" s="61">
        <f>A28</f>
        <v>50935</v>
      </c>
      <c r="R27" s="62"/>
      <c r="S27" s="60"/>
      <c r="T27" s="67">
        <f>SUM(P22:P26)-SUM(R22:R26)</f>
        <v>0</v>
      </c>
    </row>
    <row r="28" spans="1:20" x14ac:dyDescent="0.25">
      <c r="A28" s="31">
        <v>50935</v>
      </c>
      <c r="B28" s="25" t="s">
        <v>21</v>
      </c>
      <c r="C28" s="25">
        <v>44995</v>
      </c>
      <c r="D28" s="27">
        <v>7</v>
      </c>
      <c r="E28" s="27">
        <v>455000</v>
      </c>
      <c r="F28" s="27">
        <v>0</v>
      </c>
      <c r="G28" s="27">
        <f>E28-F28</f>
        <v>455000</v>
      </c>
      <c r="H28" s="27">
        <f>G28*18%</f>
        <v>81900</v>
      </c>
      <c r="I28" s="27">
        <f>G28+H28</f>
        <v>536900</v>
      </c>
      <c r="J28" s="27">
        <f>G28*1%</f>
        <v>4550</v>
      </c>
      <c r="K28" s="27">
        <f>5%*G28</f>
        <v>22750</v>
      </c>
      <c r="L28" s="27">
        <v>0</v>
      </c>
      <c r="M28" s="27">
        <v>0</v>
      </c>
      <c r="N28" s="27">
        <f>H28</f>
        <v>81900</v>
      </c>
      <c r="O28" s="27">
        <v>41300</v>
      </c>
      <c r="P28" s="63">
        <f>ROUND(I28-SUM(J28:O28),)</f>
        <v>386400</v>
      </c>
      <c r="Q28" s="12"/>
      <c r="R28" s="20">
        <v>99000</v>
      </c>
      <c r="S28" s="36" t="s">
        <v>17</v>
      </c>
    </row>
    <row r="29" spans="1:20" x14ac:dyDescent="0.25">
      <c r="A29" s="31">
        <v>50935</v>
      </c>
      <c r="B29" s="17" t="s">
        <v>16</v>
      </c>
      <c r="C29" s="25">
        <v>44996</v>
      </c>
      <c r="D29" s="27">
        <v>7</v>
      </c>
      <c r="E29" s="27">
        <f>N28</f>
        <v>81900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33">
        <f>E29</f>
        <v>81900</v>
      </c>
      <c r="Q29" s="12"/>
      <c r="R29" s="20">
        <v>198000</v>
      </c>
      <c r="S29" s="36" t="s">
        <v>18</v>
      </c>
    </row>
    <row r="30" spans="1:20" x14ac:dyDescent="0.25">
      <c r="A30" s="31"/>
      <c r="B30" s="17"/>
      <c r="C30" s="18"/>
      <c r="D30" s="19"/>
      <c r="E30" s="11"/>
      <c r="F30" s="11"/>
      <c r="G30" s="27"/>
      <c r="H30" s="27"/>
      <c r="I30" s="27"/>
      <c r="J30" s="27"/>
      <c r="K30" s="27"/>
      <c r="L30" s="27"/>
      <c r="M30" s="27"/>
      <c r="N30" s="27"/>
      <c r="O30" s="27"/>
      <c r="P30" s="32"/>
      <c r="Q30" s="12"/>
      <c r="R30" s="20">
        <v>89400</v>
      </c>
      <c r="S30" s="36" t="s">
        <v>19</v>
      </c>
    </row>
    <row r="31" spans="1:20" x14ac:dyDescent="0.25">
      <c r="A31" s="31"/>
      <c r="B31" s="17"/>
      <c r="C31" s="18"/>
      <c r="D31" s="19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32"/>
      <c r="Q31" s="12"/>
      <c r="R31" s="20">
        <v>81900</v>
      </c>
      <c r="S31" s="36" t="s">
        <v>20</v>
      </c>
    </row>
    <row r="32" spans="1:20" x14ac:dyDescent="0.25">
      <c r="A32" s="31"/>
      <c r="B32" s="17"/>
      <c r="C32" s="18"/>
      <c r="D32" s="19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32"/>
      <c r="Q32" s="12"/>
      <c r="R32" s="9"/>
      <c r="S32" s="36"/>
    </row>
    <row r="33" spans="1:20" x14ac:dyDescent="0.25">
      <c r="A33" s="3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32"/>
      <c r="Q33" s="10"/>
      <c r="R33" s="9"/>
      <c r="S33" s="32"/>
      <c r="T33" s="67">
        <f>SUM(P28:P32)-SUM(R28:R32)</f>
        <v>0</v>
      </c>
    </row>
    <row r="34" spans="1:20" ht="16.5" thickBot="1" x14ac:dyDescent="0.3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5"/>
      <c r="Q34" s="13"/>
      <c r="R34" s="46"/>
      <c r="S34" s="45"/>
    </row>
    <row r="35" spans="1:20" x14ac:dyDescent="0.25">
      <c r="A35" s="28"/>
      <c r="B35" s="47"/>
      <c r="C35" s="47"/>
      <c r="D35" s="47"/>
      <c r="E35" s="47"/>
      <c r="F35" s="47"/>
      <c r="G35" s="47"/>
      <c r="H35" s="47"/>
      <c r="I35" s="47"/>
      <c r="J35" s="48">
        <f>SUM(J6:J32)</f>
        <v>26210.246800000001</v>
      </c>
      <c r="K35" s="48">
        <f>SUM(K6:K32)</f>
        <v>131051.234</v>
      </c>
      <c r="L35" s="48">
        <f>SUM(L6:L32)</f>
        <v>166342.46799999999</v>
      </c>
      <c r="M35" s="48">
        <f>SUM(M6:M32)</f>
        <v>166342.46799999999</v>
      </c>
      <c r="N35" s="48">
        <f>SUM(N6:N32)</f>
        <v>471783.86</v>
      </c>
      <c r="O35" s="49">
        <f>SUM(O8:O32)</f>
        <v>265422</v>
      </c>
      <c r="P35" s="49">
        <f>SUM(P8:P32)</f>
        <v>2206548</v>
      </c>
      <c r="Q35" s="50"/>
      <c r="R35" s="51">
        <f>SUM(R6:R32)</f>
        <v>2265291</v>
      </c>
      <c r="S35" s="52"/>
    </row>
    <row r="36" spans="1:20" x14ac:dyDescent="0.25">
      <c r="A36" s="3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2"/>
      <c r="Q36" s="10"/>
      <c r="R36" s="9"/>
      <c r="S36" s="32"/>
    </row>
    <row r="37" spans="1:20" x14ac:dyDescent="0.25">
      <c r="A37" s="3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2"/>
      <c r="Q37" s="10"/>
      <c r="R37" s="39">
        <f>P35-R35</f>
        <v>-58743</v>
      </c>
      <c r="S37" s="32"/>
    </row>
    <row r="38" spans="1:20" ht="16.5" thickBot="1" x14ac:dyDescent="0.3">
      <c r="A38" s="38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41"/>
      <c r="R38" s="14"/>
      <c r="S38" s="16"/>
    </row>
    <row r="39" spans="1:20" x14ac:dyDescent="0.25">
      <c r="B39" s="1"/>
      <c r="C39" s="1"/>
      <c r="D39" s="1"/>
      <c r="E39" s="1"/>
      <c r="F39" s="1"/>
      <c r="G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1" spans="1:20" ht="16.5" thickBot="1" x14ac:dyDescent="0.3"/>
    <row r="42" spans="1:20" ht="19.5" thickBot="1" x14ac:dyDescent="0.3">
      <c r="L42" s="83" t="s">
        <v>3</v>
      </c>
      <c r="M42" s="83"/>
      <c r="N42" s="83"/>
      <c r="O42" s="83"/>
    </row>
    <row r="43" spans="1:20" ht="16.5" thickBot="1" x14ac:dyDescent="0.3">
      <c r="L43" s="77" t="s">
        <v>27</v>
      </c>
      <c r="M43" s="77"/>
      <c r="N43" s="78">
        <f>K35+L35+M35</f>
        <v>463736.17</v>
      </c>
      <c r="O43" s="78"/>
    </row>
    <row r="44" spans="1:20" ht="16.5" thickBot="1" x14ac:dyDescent="0.3">
      <c r="L44" s="77" t="s">
        <v>28</v>
      </c>
      <c r="M44" s="77"/>
      <c r="N44" s="78">
        <f>O35</f>
        <v>265422</v>
      </c>
      <c r="O44" s="78"/>
    </row>
    <row r="45" spans="1:20" ht="16.5" thickBot="1" x14ac:dyDescent="0.3">
      <c r="L45" s="77" t="s">
        <v>29</v>
      </c>
      <c r="M45" s="77"/>
      <c r="N45" s="78">
        <f>S39</f>
        <v>0</v>
      </c>
      <c r="O45" s="78"/>
    </row>
    <row r="46" spans="1:20" ht="16.5" thickBot="1" x14ac:dyDescent="0.3">
      <c r="L46" s="77" t="s">
        <v>30</v>
      </c>
      <c r="M46" s="77"/>
      <c r="N46" s="78"/>
      <c r="O46" s="78"/>
    </row>
    <row r="47" spans="1:20" ht="16.5" thickBot="1" x14ac:dyDescent="0.3">
      <c r="L47" s="79" t="s">
        <v>31</v>
      </c>
      <c r="M47" s="80"/>
      <c r="N47" s="81">
        <f>N35-P29-P23-P11-P10</f>
        <v>130891.85999999999</v>
      </c>
      <c r="O47" s="82"/>
    </row>
  </sheetData>
  <mergeCells count="11">
    <mergeCell ref="L46:M46"/>
    <mergeCell ref="N46:O46"/>
    <mergeCell ref="L47:M47"/>
    <mergeCell ref="N47:O47"/>
    <mergeCell ref="L42:O42"/>
    <mergeCell ref="L43:M43"/>
    <mergeCell ref="N43:O43"/>
    <mergeCell ref="L44:M44"/>
    <mergeCell ref="N44:O44"/>
    <mergeCell ref="L45:M45"/>
    <mergeCell ref="N45:O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2025-04-19T07:49:16Z</dcterms:modified>
</cp:coreProperties>
</file>