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6" i="1" l="1"/>
  <c r="G33" i="1"/>
  <c r="J33" i="1" s="1"/>
  <c r="M33" i="1" l="1"/>
  <c r="L33" i="1"/>
  <c r="K33" i="1"/>
  <c r="H33" i="1"/>
  <c r="N33" i="1" s="1"/>
  <c r="L55" i="1" s="1"/>
  <c r="E19" i="1"/>
  <c r="P19" i="1" s="1"/>
  <c r="O43" i="1"/>
  <c r="G30" i="1"/>
  <c r="J30" i="1" s="1"/>
  <c r="I33" i="1" l="1"/>
  <c r="P33" i="1" s="1"/>
  <c r="K30" i="1"/>
  <c r="H30" i="1"/>
  <c r="N30" i="1" s="1"/>
  <c r="E31" i="1" s="1"/>
  <c r="P31" i="1" s="1"/>
  <c r="L30" i="1"/>
  <c r="M30" i="1"/>
  <c r="E18" i="1"/>
  <c r="P18" i="1" s="1"/>
  <c r="T29" i="1"/>
  <c r="T10" i="1"/>
  <c r="U10" i="1" s="1"/>
  <c r="U11" i="1"/>
  <c r="U12" i="1"/>
  <c r="G10" i="1"/>
  <c r="K10" i="1" s="1"/>
  <c r="U38" i="1"/>
  <c r="T28" i="1"/>
  <c r="U28" i="1" s="1"/>
  <c r="G28" i="1"/>
  <c r="J28" i="1" s="1"/>
  <c r="Q25" i="1"/>
  <c r="G22" i="1"/>
  <c r="H22" i="1" s="1"/>
  <c r="U22" i="1"/>
  <c r="U17" i="1"/>
  <c r="G9" i="1"/>
  <c r="M9" i="1" s="1"/>
  <c r="T8" i="1"/>
  <c r="U8" i="1" s="1"/>
  <c r="U21" i="1"/>
  <c r="U16" i="1"/>
  <c r="U9" i="1"/>
  <c r="U26" i="1"/>
  <c r="Q36" i="1"/>
  <c r="T37" i="1"/>
  <c r="U37" i="1" s="1"/>
  <c r="G37" i="1"/>
  <c r="J37" i="1" s="1"/>
  <c r="F27" i="1"/>
  <c r="G27" i="1" s="1"/>
  <c r="M27" i="1" s="1"/>
  <c r="I30" i="1" l="1"/>
  <c r="P30" i="1"/>
  <c r="U43" i="1"/>
  <c r="H9" i="1"/>
  <c r="N9" i="1" s="1"/>
  <c r="H10" i="1"/>
  <c r="N10" i="1" s="1"/>
  <c r="E12" i="1" s="1"/>
  <c r="P12" i="1" s="1"/>
  <c r="L10" i="1"/>
  <c r="M10" i="1"/>
  <c r="J10" i="1"/>
  <c r="L9" i="1"/>
  <c r="K9" i="1"/>
  <c r="J9" i="1"/>
  <c r="L28" i="1"/>
  <c r="M28" i="1"/>
  <c r="K28" i="1"/>
  <c r="H28" i="1"/>
  <c r="N28" i="1" s="1"/>
  <c r="E32" i="1" s="1"/>
  <c r="P32" i="1" s="1"/>
  <c r="J22" i="1"/>
  <c r="K22" i="1"/>
  <c r="N22" i="1"/>
  <c r="L37" i="1"/>
  <c r="K37" i="1"/>
  <c r="H37" i="1"/>
  <c r="N37" i="1" s="1"/>
  <c r="E38" i="1" s="1"/>
  <c r="P38" i="1" s="1"/>
  <c r="M37" i="1"/>
  <c r="L27" i="1"/>
  <c r="H27" i="1"/>
  <c r="N27" i="1" s="1"/>
  <c r="K27" i="1"/>
  <c r="J27" i="1"/>
  <c r="E11" i="1" l="1"/>
  <c r="P11" i="1" s="1"/>
  <c r="I9" i="1"/>
  <c r="I10" i="1"/>
  <c r="P10" i="1" s="1"/>
  <c r="P9" i="1"/>
  <c r="I28" i="1"/>
  <c r="P28" i="1" s="1"/>
  <c r="I22" i="1"/>
  <c r="P22" i="1" s="1"/>
  <c r="I37" i="1"/>
  <c r="P37" i="1" s="1"/>
  <c r="W41" i="1" s="1"/>
  <c r="I27" i="1"/>
  <c r="P27" i="1" s="1"/>
  <c r="W15" i="1" l="1"/>
  <c r="K17" i="1"/>
  <c r="J17" i="1"/>
  <c r="G17" i="1"/>
  <c r="G8" i="1"/>
  <c r="H17" i="1" l="1"/>
  <c r="I17" i="1" s="1"/>
  <c r="P17" i="1" s="1"/>
  <c r="W20" i="1" s="1"/>
  <c r="G26" i="1"/>
  <c r="Q7" i="1"/>
  <c r="Q15" i="1"/>
  <c r="Q20" i="1"/>
  <c r="M26" i="1" l="1"/>
  <c r="M43" i="1" s="1"/>
  <c r="H26" i="1"/>
  <c r="L26" i="1"/>
  <c r="L43" i="1" s="1"/>
  <c r="J26" i="1"/>
  <c r="K26" i="1"/>
  <c r="I26" i="1" l="1"/>
  <c r="N26" i="1"/>
  <c r="E29" i="1" s="1"/>
  <c r="P29" i="1" s="1"/>
  <c r="G21" i="1"/>
  <c r="P26" i="1" l="1"/>
  <c r="H21" i="1" l="1"/>
  <c r="K21" i="1"/>
  <c r="J21" i="1"/>
  <c r="K43" i="1" l="1"/>
  <c r="L52" i="1" s="1"/>
  <c r="N21" i="1"/>
  <c r="N43" i="1" s="1"/>
  <c r="I21" i="1"/>
  <c r="E23" i="1" l="1"/>
  <c r="P23" i="1" s="1"/>
  <c r="P21" i="1"/>
  <c r="W25" i="1" l="1"/>
  <c r="W43" i="1" s="1"/>
  <c r="P43" i="1"/>
  <c r="U45" i="1" l="1"/>
  <c r="L54" i="1" s="1"/>
</calcChain>
</file>

<file path=xl/sharedStrings.xml><?xml version="1.0" encoding="utf-8"?>
<sst xmlns="http://schemas.openxmlformats.org/spreadsheetml/2006/main" count="102" uniqueCount="82">
  <si>
    <t>Amount</t>
  </si>
  <si>
    <t>PAYMENT NOTE No.</t>
  </si>
  <si>
    <t>UTR</t>
  </si>
  <si>
    <t>Balance Payable Amount Rs. -</t>
  </si>
  <si>
    <t>Total Paid Amount Rs. -</t>
  </si>
  <si>
    <t>Balaji construction</t>
  </si>
  <si>
    <t>Khokani Village Boundary wall work</t>
  </si>
  <si>
    <t>Khokani Village Pump house work</t>
  </si>
  <si>
    <t>Khokani Village Pipeline work</t>
  </si>
  <si>
    <t>RIUP23/1062</t>
  </si>
  <si>
    <t>12-07-2023 NEFT/AXISP00406496251/RIUP23/1062/BALAJI CONSTRUC ₹ 1,48,500.00</t>
  </si>
  <si>
    <t>RIUP23/1097</t>
  </si>
  <si>
    <t>21-07-2023 NEFT/AXISP00408446742/RIUP23/1097/BALAJI CONSTRUC 23835.00</t>
  </si>
  <si>
    <t>15-07-2023 NEFT/AXISP00407289885/RIUP23/1094/BALAJI CONSTRUC ₹ 1,36,206.00</t>
  </si>
  <si>
    <t>RIUP23/1094</t>
  </si>
  <si>
    <t>14-07-2023 NEFT/AXISP00406995905/RIUP23/1072/BALAJI CONSTRUC 43459.00</t>
  </si>
  <si>
    <t>RIUP23/1072</t>
  </si>
  <si>
    <t>Randawali , Jhabarpur,Harinagar Village Pipeline work</t>
  </si>
  <si>
    <t>RIUP23/1497</t>
  </si>
  <si>
    <t>14-08-2023 NEFT/AXISP00415803578/RIUP23/1497/BALAJI CONSTRUC ₹ 3,70,582.00</t>
  </si>
  <si>
    <t>01-09-2023 NEFT/AXISP00420941794/RIUP23/1818/BALAJI CONSTRUCTIO/UBIN0572632 ₹ 1,48,500.00</t>
  </si>
  <si>
    <t>RIUP23/1818</t>
  </si>
  <si>
    <t>26-10-2023 NEFT/AXISP00437006020/RIUP23/2845/BALAJI CONSTRUCTIO/UBIN0572632 519888.00</t>
  </si>
  <si>
    <t>RIUP23/2845</t>
  </si>
  <si>
    <t>01-12-2023 NEFT/AXISP00448665328/RIUP23/3474/BALAJI CONSTRUCTIO/UBIN0572632 ₹ 46,947.00</t>
  </si>
  <si>
    <t>RIUP23/3474</t>
  </si>
  <si>
    <t>17-10-2023 NEFT/AXISP00435088305/RIUP23/2421/BALAJI CONSTRUCTIO/UBIN0572632 186900.00</t>
  </si>
  <si>
    <t>RIUP23/2421</t>
  </si>
  <si>
    <t>17-10-2023 NEFT/AXISP00435088306/RIUP23/2422/BALAJI CONSTRUCTIO/UBIN0572632 130942.00</t>
  </si>
  <si>
    <t>RIUP23/2422</t>
  </si>
  <si>
    <t>27-12-2023 NEFT/AXISP00455794960/RIUP23/3991/BALAJI CONSTRUCTIO/UBIN0572632 ₹ 1,98,000.00</t>
  </si>
  <si>
    <t>RIUP23/3991</t>
  </si>
  <si>
    <t>Advance Village Wise</t>
  </si>
  <si>
    <t xml:space="preserve">Total Hold </t>
  </si>
  <si>
    <t>Total Debit</t>
  </si>
  <si>
    <t>Advance/ Surplus</t>
  </si>
  <si>
    <t>GST Remaining</t>
  </si>
  <si>
    <t>Nil</t>
  </si>
  <si>
    <t>09-01-2024 NEFT/AXISP00460826663/RIUP23/4009/BALAJI CONSTRUCTIO/UBIN0572632 302196.00</t>
  </si>
  <si>
    <t>RIUP23/4009</t>
  </si>
  <si>
    <t>25-01-2024 NEFT/AXISP00464876202/RIUP23/4419/BALAJI CONSTRUCTIO/UBIN0572632 320342.00</t>
  </si>
  <si>
    <t>RIUP23/4419</t>
  </si>
  <si>
    <t>10-11-2023 NEFT/AXISP00443237220/RIUP23/3218/BALAJI CONSTRUCTIO/UBIN0572632 99000.00</t>
  </si>
  <si>
    <t>28-02-2024 NEFT/AXISP00474588154/RIUP23/4840/BALAJI CONSTRUCTIO/UBIN0572632 208403.00</t>
  </si>
  <si>
    <t>GST</t>
  </si>
  <si>
    <t>06-03-2024 NEFT/AXISP00477945203/RIUP23/4842/BALAJI CONSTRUCTIO/UBIN0572632 8789.00</t>
  </si>
  <si>
    <t>12-03-2024 NEFT/AXISP00480051200/RIUP23/4787/BALAJI CONSTRUCTIO/UBIN0572632 500000.00</t>
  </si>
  <si>
    <t>30-03-2024 NEFT/AXISP00486493289/RIUP23/4841/BALAJI CONSTRUCTIO/UBIN0572632 78577.00</t>
  </si>
  <si>
    <t>30-03-2024 NEFT/AXISP00486493282/RIUP23/4839/BALAJI CONSTRUCTIO/UBIN0572632 51156.00</t>
  </si>
  <si>
    <t>30-03-2024 NEFT/AXISP00486493283/RIUP23/4838/BALAJI CONSTRUCTIO/UBIN0572632 111455.00</t>
  </si>
  <si>
    <t>Payable</t>
  </si>
  <si>
    <t>24-04-2024 NEFT/AXISP00493457035/RIUP24/0271/BALAJI CONSTRUCTIO/UBIN0572632 365596.00</t>
  </si>
  <si>
    <t>16-07-2024 NEFT/AXISP00519021668/RIUP24/0953/BALAJI CONSTRUCTIO/UBIN0572632 500000.00</t>
  </si>
  <si>
    <t>GSt</t>
  </si>
  <si>
    <t>03-08-2024 NEFT/AXISP00524511286/RIUP24/1356/BALAJI CONSTRUCTIO/UBIN0572632 179795.00</t>
  </si>
  <si>
    <t>18-10-2024 NEFT/AXISP00555372145/RIUP24/2212/BALAJI CONSTRUCTIO/UBIN0572632 286611.00</t>
  </si>
  <si>
    <t>26-12-2024 Debit N/RIUP24/2402/BALAJI CONSTRU/INDBN26123786894 300000.0</t>
  </si>
  <si>
    <t>Subcontractor:</t>
  </si>
  <si>
    <t>State:</t>
  </si>
  <si>
    <t>District:</t>
  </si>
  <si>
    <t>Block:</t>
  </si>
  <si>
    <t>Uttar Pradesh</t>
  </si>
  <si>
    <t>Muzaffarnagar</t>
  </si>
  <si>
    <t>AHRORA village PIPELINE DISTRIBUTION NETWORK WORK  AT AHRORA BLOCK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</si>
  <si>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</si>
  <si>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</si>
  <si>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</si>
  <si>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</si>
  <si>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</si>
  <si>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</si>
  <si>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</si>
  <si>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</si>
  <si>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</si>
  <si>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</si>
  <si>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</si>
  <si>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</si>
  <si>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</si>
  <si>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Hold Amount For Material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</si>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</sst>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15" fontId="3" fillId="2" borderId="5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15" fontId="3" fillId="3" borderId="5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 wrapText="1"/>
    </xf>
    <xf numFmtId="0" fontId="0" fillId="2" borderId="10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43" fontId="0" fillId="3" borderId="5" xfId="0" applyNumberForma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3" fontId="3" fillId="2" borderId="10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9" fontId="3" fillId="3" borderId="5" xfId="1" applyNumberFormat="1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quotePrefix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43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horizontal="right"/>
    </xf>
    <xf numFmtId="14" fontId="3" fillId="2" borderId="5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2" fontId="3" fillId="2" borderId="5" xfId="0" applyNumberFormat="1" applyFont="1" applyFill="1" applyBorder="1" applyAlignment="1">
      <alignment horizontal="center" vertical="center"/>
    </xf>
    <xf numFmtId="43" fontId="9" fillId="5" borderId="5" xfId="1" applyNumberFormat="1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5" fontId="6" fillId="2" borderId="7" xfId="0" applyNumberFormat="1" applyFont="1" applyFill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5" fontId="6" fillId="2" borderId="8" xfId="0" applyNumberFormat="1" applyFont="1" applyFill="1" applyBorder="1" applyAlignment="1">
      <alignment horizontal="center" vertical="center"/>
    </xf>
    <xf numFmtId="165" fontId="6" fillId="2" borderId="4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4" fontId="8" fillId="2" borderId="11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65" fontId="6" fillId="2" borderId="14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6" fillId="2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14" fontId="6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43" fontId="10" fillId="2" borderId="10" xfId="1" applyNumberFormat="1" applyFont="1" applyFill="1" applyBorder="1" applyAlignment="1">
      <alignment horizontal="center" vertical="center"/>
    </xf>
    <xf numFmtId="43" fontId="6" fillId="2" borderId="1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5"/>
  <sheetViews>
    <sheetView tabSelected="1" zoomScale="85" zoomScaleNormal="85" workbookViewId="0">
      <pane ySplit="6" topLeftCell="A7" activePane="bottomLeft" state="frozen"/>
      <selection pane="bottomLeft" activeCell="N28" sqref="N28"/>
    </sheetView>
  </sheetViews>
  <sheetFormatPr defaultColWidth="9" defaultRowHeight="15" x14ac:dyDescent="0.25"/>
  <cols>
    <col min="1" max="1" width="12.140625" style="4" customWidth="1"/>
    <col min="2" max="2" width="29.5703125" style="4" bestFit="1" customWidth="1"/>
    <col min="3" max="3" width="11.7109375" style="4" bestFit="1" customWidth="1"/>
    <col min="4" max="4" width="26.85546875" style="4" bestFit="1" customWidth="1"/>
    <col min="5" max="5" width="12.140625" style="4" bestFit="1" customWidth="1"/>
    <col min="6" max="6" width="10" style="4" bestFit="1" customWidth="1"/>
    <col min="7" max="7" width="15.42578125" style="4" bestFit="1" customWidth="1"/>
    <col min="8" max="8" width="15.42578125" style="16" customWidth="1"/>
    <col min="9" max="9" width="12.140625" style="16" bestFit="1" customWidth="1"/>
    <col min="10" max="10" width="9.7109375" style="4" bestFit="1" customWidth="1"/>
    <col min="11" max="11" width="17.85546875" style="4" customWidth="1"/>
    <col min="12" max="12" width="15" style="4" bestFit="1" customWidth="1"/>
    <col min="13" max="13" width="15.85546875" style="4" customWidth="1"/>
    <col min="14" max="14" width="13.7109375" style="4" bestFit="1" customWidth="1"/>
    <col min="15" max="15" width="14.85546875" style="4" customWidth="1"/>
    <col min="16" max="16" width="13.7109375" style="4" bestFit="1" customWidth="1"/>
    <col min="17" max="17" width="6.7109375" style="4" bestFit="1" customWidth="1"/>
    <col min="18" max="18" width="28.140625" style="4" bestFit="1" customWidth="1"/>
    <col min="19" max="19" width="12" style="4" bestFit="1" customWidth="1"/>
    <col min="20" max="20" width="13.7109375" style="4" bestFit="1" customWidth="1"/>
    <col min="21" max="21" width="16.140625" style="4" bestFit="1" customWidth="1"/>
    <col min="22" max="22" width="94" style="4" bestFit="1" customWidth="1"/>
    <col min="23" max="23" width="15.28515625" style="4" bestFit="1" customWidth="1"/>
    <col min="24" max="16384" width="9" style="4"/>
  </cols>
  <sheetData>
    <row r="1" spans="1:119" x14ac:dyDescent="0.25">
      <c r="A1" s="64" t="s">
        <v>57</v>
      </c>
      <c r="B1" s="3" t="s">
        <v>5</v>
      </c>
      <c r="E1" s="5"/>
      <c r="F1" s="5"/>
      <c r="G1" s="5"/>
      <c r="H1" s="6"/>
      <c r="I1" s="6"/>
    </row>
    <row r="2" spans="1:119" ht="21" x14ac:dyDescent="0.25">
      <c r="A2" s="64" t="s">
        <v>58</v>
      </c>
      <c r="B2" s="65" t="s">
        <v>61</v>
      </c>
      <c r="C2" s="7"/>
      <c r="D2" s="7" t="s">
        <v>5</v>
      </c>
      <c r="G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119" ht="21.75" thickBot="1" x14ac:dyDescent="0.3">
      <c r="A3" s="64" t="s">
        <v>59</v>
      </c>
      <c r="B3" s="65" t="s">
        <v>62</v>
      </c>
      <c r="C3" s="7"/>
      <c r="D3" s="7"/>
      <c r="G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119" ht="15.75" thickBot="1" x14ac:dyDescent="0.3">
      <c r="A4" s="64" t="s">
        <v>60</v>
      </c>
      <c r="B4" s="65" t="s">
        <v>62</v>
      </c>
      <c r="C4" s="10"/>
      <c r="D4" s="10"/>
      <c r="E4" s="10"/>
      <c r="F4" s="9"/>
      <c r="G4" s="9"/>
      <c r="H4" s="11"/>
      <c r="I4" s="11"/>
      <c r="J4" s="9"/>
      <c r="K4" s="9"/>
      <c r="L4" s="9"/>
      <c r="M4" s="9"/>
      <c r="R4" s="9"/>
      <c r="S4" s="12"/>
      <c r="T4" s="12"/>
      <c r="U4" s="12"/>
      <c r="V4" s="12"/>
    </row>
    <row r="5" spans="1:119" ht="30.75" thickBot="1" x14ac:dyDescent="0.3">
      <c r="A5" s="66" t="s">
        <v>64</v>
      </c>
      <c r="B5" s="67" t="s">
        <v>65</v>
      </c>
      <c r="C5" s="68" t="s">
        <v>66</v>
      </c>
      <c r="D5" s="69" t="s">
        <v>67</v>
      </c>
      <c r="E5" s="67" t="s">
        <v>68</v>
      </c>
      <c r="F5" s="67" t="s">
        <v>69</v>
      </c>
      <c r="G5" s="69" t="s">
        <v>70</v>
      </c>
      <c r="H5" s="70" t="s">
        <v>71</v>
      </c>
      <c r="I5" s="71" t="s">
        <v>0</v>
      </c>
      <c r="J5" s="67" t="s">
        <v>72</v>
      </c>
      <c r="K5" s="67" t="s">
        <v>73</v>
      </c>
      <c r="L5" s="67" t="s">
        <v>74</v>
      </c>
      <c r="M5" s="67" t="s">
        <v>75</v>
      </c>
      <c r="N5" s="26" t="s">
        <v>76</v>
      </c>
      <c r="O5" s="26" t="s">
        <v>77</v>
      </c>
      <c r="P5" s="26" t="s">
        <v>78</v>
      </c>
      <c r="Q5" s="1"/>
      <c r="R5" s="25" t="s">
        <v>1</v>
      </c>
      <c r="S5" s="67" t="s">
        <v>79</v>
      </c>
      <c r="T5" s="67" t="s">
        <v>80</v>
      </c>
      <c r="U5" s="67" t="s">
        <v>81</v>
      </c>
      <c r="V5" s="67" t="s">
        <v>2</v>
      </c>
      <c r="W5" s="20" t="s">
        <v>32</v>
      </c>
    </row>
    <row r="6" spans="1:119" x14ac:dyDescent="0.25">
      <c r="B6" s="27"/>
      <c r="C6" s="27"/>
      <c r="D6" s="27"/>
      <c r="E6" s="27"/>
      <c r="F6" s="27"/>
      <c r="G6" s="27"/>
      <c r="H6" s="28">
        <v>0.18</v>
      </c>
      <c r="I6" s="27"/>
      <c r="J6" s="28">
        <v>0.01</v>
      </c>
      <c r="K6" s="28">
        <v>0.05</v>
      </c>
      <c r="L6" s="28"/>
      <c r="M6" s="28"/>
      <c r="N6" s="28">
        <v>0.18</v>
      </c>
      <c r="O6" s="28"/>
      <c r="P6" s="27"/>
      <c r="Q6" s="29"/>
      <c r="R6" s="27"/>
      <c r="S6" s="27"/>
      <c r="T6" s="28">
        <v>0.01</v>
      </c>
      <c r="U6" s="27"/>
      <c r="V6" s="27"/>
      <c r="W6" s="21"/>
    </row>
    <row r="7" spans="1:119" s="17" customFormat="1" x14ac:dyDescent="0.25">
      <c r="B7" s="37"/>
      <c r="C7" s="19"/>
      <c r="D7" s="3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31">
        <f>A8</f>
        <v>57752</v>
      </c>
      <c r="R7" s="18"/>
      <c r="S7" s="18"/>
      <c r="T7" s="18"/>
      <c r="U7" s="18"/>
      <c r="V7" s="22"/>
      <c r="W7" s="2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</row>
    <row r="8" spans="1:119" x14ac:dyDescent="0.25">
      <c r="A8" s="4">
        <v>57752</v>
      </c>
      <c r="B8" s="32" t="s">
        <v>8</v>
      </c>
      <c r="C8" s="2">
        <v>45114</v>
      </c>
      <c r="D8" s="39">
        <v>1</v>
      </c>
      <c r="E8" s="13">
        <v>218144</v>
      </c>
      <c r="F8" s="13">
        <v>0</v>
      </c>
      <c r="G8" s="13">
        <f>E8-F8</f>
        <v>218144</v>
      </c>
      <c r="H8" s="13">
        <v>39266</v>
      </c>
      <c r="I8" s="13">
        <v>257410</v>
      </c>
      <c r="J8" s="13">
        <v>2181.44</v>
      </c>
      <c r="K8" s="13">
        <v>10907.2</v>
      </c>
      <c r="L8" s="13">
        <v>10907.2</v>
      </c>
      <c r="M8" s="13">
        <v>21814.400000000001</v>
      </c>
      <c r="N8" s="47">
        <v>39266</v>
      </c>
      <c r="O8" s="13">
        <v>0</v>
      </c>
      <c r="P8" s="13">
        <v>172334</v>
      </c>
      <c r="Q8" s="34"/>
      <c r="R8" s="13" t="s">
        <v>9</v>
      </c>
      <c r="S8" s="13">
        <v>150000</v>
      </c>
      <c r="T8" s="13">
        <f>S8*1%</f>
        <v>1500</v>
      </c>
      <c r="U8" s="35">
        <f>S8-T8</f>
        <v>148500</v>
      </c>
      <c r="V8" s="36" t="s">
        <v>10</v>
      </c>
      <c r="W8" s="23"/>
    </row>
    <row r="9" spans="1:119" x14ac:dyDescent="0.25">
      <c r="A9" s="4">
        <v>57752</v>
      </c>
      <c r="B9" s="32" t="s">
        <v>8</v>
      </c>
      <c r="C9" s="2">
        <v>45236</v>
      </c>
      <c r="D9" s="39">
        <v>8</v>
      </c>
      <c r="E9" s="13">
        <v>225997</v>
      </c>
      <c r="F9" s="13">
        <v>7600</v>
      </c>
      <c r="G9" s="13">
        <f>E9-F9</f>
        <v>218397</v>
      </c>
      <c r="H9" s="13">
        <f>G9*18%</f>
        <v>39311.46</v>
      </c>
      <c r="I9" s="13">
        <f>G9+H9</f>
        <v>257708.46</v>
      </c>
      <c r="J9" s="13">
        <f>G9*1%</f>
        <v>2183.9700000000003</v>
      </c>
      <c r="K9" s="13">
        <f>G9*5%</f>
        <v>10919.85</v>
      </c>
      <c r="L9" s="13">
        <f>G9*10%</f>
        <v>21839.7</v>
      </c>
      <c r="M9" s="13">
        <f>G9*10%</f>
        <v>21839.7</v>
      </c>
      <c r="N9" s="47">
        <f>H9</f>
        <v>39311.46</v>
      </c>
      <c r="O9" s="13">
        <v>15666</v>
      </c>
      <c r="P9" s="13">
        <f>I9-J9-K9-L9-M9-N9-O9</f>
        <v>145947.77999999997</v>
      </c>
      <c r="Q9" s="34"/>
      <c r="R9" s="13" t="s">
        <v>11</v>
      </c>
      <c r="S9" s="13">
        <v>23835</v>
      </c>
      <c r="T9" s="13">
        <v>0</v>
      </c>
      <c r="U9" s="35">
        <f>S9-T9</f>
        <v>23835</v>
      </c>
      <c r="V9" s="36" t="s">
        <v>12</v>
      </c>
      <c r="W9" s="23"/>
    </row>
    <row r="10" spans="1:119" x14ac:dyDescent="0.25">
      <c r="A10" s="4">
        <v>57752</v>
      </c>
      <c r="B10" s="32" t="s">
        <v>8</v>
      </c>
      <c r="C10" s="2">
        <v>45304</v>
      </c>
      <c r="D10" s="39">
        <v>10</v>
      </c>
      <c r="E10" s="13">
        <v>432896</v>
      </c>
      <c r="F10" s="13">
        <v>0</v>
      </c>
      <c r="G10" s="13">
        <f>E10-F10</f>
        <v>432896</v>
      </c>
      <c r="H10" s="13">
        <f>G10*18%</f>
        <v>77921.279999999999</v>
      </c>
      <c r="I10" s="13">
        <f>G10+H10</f>
        <v>510817.28000000003</v>
      </c>
      <c r="J10" s="13">
        <f>G10*1%</f>
        <v>4328.96</v>
      </c>
      <c r="K10" s="13">
        <f>G10*5%</f>
        <v>21644.800000000003</v>
      </c>
      <c r="L10" s="13">
        <f>G10*10%</f>
        <v>43289.600000000006</v>
      </c>
      <c r="M10" s="13">
        <f>G10*10%</f>
        <v>43289.600000000006</v>
      </c>
      <c r="N10" s="47">
        <f>H10</f>
        <v>77921.279999999999</v>
      </c>
      <c r="O10" s="13">
        <v>0</v>
      </c>
      <c r="P10" s="13">
        <f>I10-J10-K10-L10-M10-N10-O10</f>
        <v>320343.04000000004</v>
      </c>
      <c r="Q10" s="34"/>
      <c r="R10" s="13" t="s">
        <v>25</v>
      </c>
      <c r="S10" s="13">
        <v>100000</v>
      </c>
      <c r="T10" s="13">
        <f>S10*1%</f>
        <v>1000</v>
      </c>
      <c r="U10" s="35">
        <f>S10-T10</f>
        <v>99000</v>
      </c>
      <c r="V10" s="36" t="s">
        <v>42</v>
      </c>
      <c r="W10" s="23"/>
    </row>
    <row r="11" spans="1:119" x14ac:dyDescent="0.25">
      <c r="A11" s="4">
        <v>57752</v>
      </c>
      <c r="B11" s="32" t="s">
        <v>44</v>
      </c>
      <c r="C11" s="2"/>
      <c r="D11" s="33">
        <v>8</v>
      </c>
      <c r="E11" s="13">
        <f>N8+N9</f>
        <v>78577.459999999992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47">
        <f>E11</f>
        <v>78577.459999999992</v>
      </c>
      <c r="Q11" s="34"/>
      <c r="R11" s="13" t="s">
        <v>25</v>
      </c>
      <c r="S11" s="13">
        <v>46947</v>
      </c>
      <c r="T11" s="13">
        <v>0</v>
      </c>
      <c r="U11" s="35">
        <f>S11-T11</f>
        <v>46947</v>
      </c>
      <c r="V11" s="36" t="s">
        <v>24</v>
      </c>
      <c r="W11" s="23"/>
    </row>
    <row r="12" spans="1:119" x14ac:dyDescent="0.25">
      <c r="A12" s="4">
        <v>57752</v>
      </c>
      <c r="B12" s="32" t="s">
        <v>44</v>
      </c>
      <c r="C12" s="2"/>
      <c r="D12" s="39">
        <v>10</v>
      </c>
      <c r="E12" s="13">
        <f>N10</f>
        <v>77921.279999999999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47">
        <f>E12</f>
        <v>77921.279999999999</v>
      </c>
      <c r="Q12" s="34"/>
      <c r="R12" s="13" t="s">
        <v>41</v>
      </c>
      <c r="S12" s="13">
        <v>320342</v>
      </c>
      <c r="T12" s="13">
        <v>0</v>
      </c>
      <c r="U12" s="35">
        <f>S12-T12</f>
        <v>320342</v>
      </c>
      <c r="V12" s="36" t="s">
        <v>40</v>
      </c>
      <c r="W12" s="23"/>
    </row>
    <row r="13" spans="1:119" x14ac:dyDescent="0.25">
      <c r="A13" s="4">
        <v>57752</v>
      </c>
      <c r="B13" s="32"/>
      <c r="C13" s="2"/>
      <c r="D13" s="39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34"/>
      <c r="R13" s="13"/>
      <c r="S13" s="13"/>
      <c r="T13" s="13"/>
      <c r="U13" s="35">
        <v>78577</v>
      </c>
      <c r="V13" s="36" t="s">
        <v>47</v>
      </c>
      <c r="W13" s="23"/>
    </row>
    <row r="14" spans="1:119" x14ac:dyDescent="0.25">
      <c r="A14" s="4">
        <v>57752</v>
      </c>
      <c r="B14" s="32"/>
      <c r="C14" s="2"/>
      <c r="D14" s="39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34"/>
      <c r="R14" s="13"/>
      <c r="S14" s="13"/>
      <c r="T14" s="13"/>
      <c r="U14" s="35"/>
      <c r="V14" s="36"/>
      <c r="W14" s="23"/>
    </row>
    <row r="15" spans="1:119" s="17" customFormat="1" x14ac:dyDescent="0.25">
      <c r="B15" s="37"/>
      <c r="C15" s="19"/>
      <c r="D15" s="3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31">
        <f>A16</f>
        <v>57938</v>
      </c>
      <c r="R15" s="18"/>
      <c r="S15" s="18">
        <v>0</v>
      </c>
      <c r="T15" s="18">
        <v>0</v>
      </c>
      <c r="U15" s="18"/>
      <c r="V15" s="22"/>
      <c r="W15" s="24">
        <f>SUM(P8:P14,0)-SUM(U8:U14,0)</f>
        <v>77922.560000000056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</row>
    <row r="16" spans="1:119" x14ac:dyDescent="0.25">
      <c r="A16" s="4">
        <v>57938</v>
      </c>
      <c r="B16" s="32" t="s">
        <v>7</v>
      </c>
      <c r="C16" s="2">
        <v>45114</v>
      </c>
      <c r="D16" s="39">
        <v>2</v>
      </c>
      <c r="E16" s="13">
        <v>105000</v>
      </c>
      <c r="F16" s="13">
        <v>56170</v>
      </c>
      <c r="G16" s="13">
        <v>48830</v>
      </c>
      <c r="H16" s="13">
        <v>8789</v>
      </c>
      <c r="I16" s="13">
        <v>57619</v>
      </c>
      <c r="J16" s="13">
        <v>488.3</v>
      </c>
      <c r="K16" s="13">
        <v>4883</v>
      </c>
      <c r="L16" s="13"/>
      <c r="M16" s="13"/>
      <c r="N16" s="47">
        <v>8789</v>
      </c>
      <c r="O16" s="13">
        <v>0</v>
      </c>
      <c r="P16" s="13">
        <v>43459</v>
      </c>
      <c r="Q16" s="34"/>
      <c r="R16" s="13" t="s">
        <v>16</v>
      </c>
      <c r="S16" s="13">
        <v>43459</v>
      </c>
      <c r="T16" s="13">
        <v>0</v>
      </c>
      <c r="U16" s="35">
        <f>S16-T16</f>
        <v>43459</v>
      </c>
      <c r="V16" s="36" t="s">
        <v>15</v>
      </c>
      <c r="W16" s="23"/>
    </row>
    <row r="17" spans="1:119" x14ac:dyDescent="0.3">
      <c r="A17" s="4">
        <v>57938</v>
      </c>
      <c r="B17" s="32" t="s">
        <v>7</v>
      </c>
      <c r="C17" s="2">
        <v>45195</v>
      </c>
      <c r="D17" s="46">
        <v>6</v>
      </c>
      <c r="E17" s="13">
        <v>210000</v>
      </c>
      <c r="F17" s="13">
        <v>0</v>
      </c>
      <c r="G17" s="40">
        <f>E17-F17</f>
        <v>210000</v>
      </c>
      <c r="H17" s="13">
        <f>G17*18%</f>
        <v>37800</v>
      </c>
      <c r="I17" s="13">
        <f>G17+H17</f>
        <v>247800</v>
      </c>
      <c r="J17" s="13">
        <f>E17*1%</f>
        <v>2100</v>
      </c>
      <c r="K17" s="13">
        <f>E17*10%</f>
        <v>21000</v>
      </c>
      <c r="L17" s="13"/>
      <c r="M17" s="13"/>
      <c r="N17" s="47">
        <v>37800</v>
      </c>
      <c r="O17" s="41"/>
      <c r="P17" s="13">
        <f>I17-J17-K17-N17</f>
        <v>186900</v>
      </c>
      <c r="Q17" s="34"/>
      <c r="R17" s="13" t="s">
        <v>27</v>
      </c>
      <c r="S17" s="13">
        <v>186900</v>
      </c>
      <c r="T17" s="13">
        <v>0</v>
      </c>
      <c r="U17" s="35">
        <f>S17-T17</f>
        <v>186900</v>
      </c>
      <c r="V17" s="36" t="s">
        <v>26</v>
      </c>
      <c r="W17" s="23"/>
    </row>
    <row r="18" spans="1:119" x14ac:dyDescent="0.25">
      <c r="A18" s="4">
        <v>57938</v>
      </c>
      <c r="B18" s="32" t="s">
        <v>44</v>
      </c>
      <c r="C18" s="2"/>
      <c r="D18" s="33">
        <v>2</v>
      </c>
      <c r="E18" s="13">
        <f>N16</f>
        <v>8789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47">
        <f>E18</f>
        <v>8789</v>
      </c>
      <c r="Q18" s="34"/>
      <c r="R18" s="13"/>
      <c r="S18" s="13"/>
      <c r="T18" s="13"/>
      <c r="U18" s="35">
        <v>8789</v>
      </c>
      <c r="V18" s="36" t="s">
        <v>45</v>
      </c>
      <c r="W18" s="23"/>
    </row>
    <row r="19" spans="1:119" x14ac:dyDescent="0.25">
      <c r="A19" s="4">
        <v>57938</v>
      </c>
      <c r="B19" s="32" t="s">
        <v>44</v>
      </c>
      <c r="C19" s="2"/>
      <c r="D19" s="33">
        <v>6</v>
      </c>
      <c r="E19" s="13">
        <f>N17</f>
        <v>37800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47">
        <f>E19</f>
        <v>37800</v>
      </c>
      <c r="Q19" s="34"/>
      <c r="R19" s="13"/>
      <c r="S19" s="13"/>
      <c r="T19" s="13"/>
      <c r="U19" s="35"/>
      <c r="V19" s="36"/>
      <c r="W19" s="23"/>
    </row>
    <row r="20" spans="1:119" s="17" customFormat="1" x14ac:dyDescent="0.25">
      <c r="B20" s="18"/>
      <c r="C20" s="18"/>
      <c r="D20" s="18"/>
      <c r="E20" s="18"/>
      <c r="F20" s="18"/>
      <c r="G20" s="18"/>
      <c r="H20" s="30"/>
      <c r="I20" s="18"/>
      <c r="J20" s="30"/>
      <c r="K20" s="30"/>
      <c r="L20" s="30"/>
      <c r="M20" s="30"/>
      <c r="N20" s="30"/>
      <c r="O20" s="30"/>
      <c r="P20" s="18"/>
      <c r="Q20" s="31">
        <f>A21</f>
        <v>58241</v>
      </c>
      <c r="R20" s="18"/>
      <c r="S20" s="18"/>
      <c r="T20" s="30"/>
      <c r="U20" s="18"/>
      <c r="V20" s="18"/>
      <c r="W20" s="24">
        <f>SUM(P16:P19)-SUM(U16:U19)</f>
        <v>37800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</row>
    <row r="21" spans="1:119" x14ac:dyDescent="0.25">
      <c r="A21" s="4">
        <v>58241</v>
      </c>
      <c r="B21" s="32" t="s">
        <v>6</v>
      </c>
      <c r="C21" s="2">
        <v>45114</v>
      </c>
      <c r="D21" s="33">
        <v>3</v>
      </c>
      <c r="E21" s="13">
        <v>144900</v>
      </c>
      <c r="F21" s="13">
        <v>0</v>
      </c>
      <c r="G21" s="13">
        <f>ROUND(E21-F21,0)</f>
        <v>144900</v>
      </c>
      <c r="H21" s="13">
        <f>ROUND(G21*H6,0)</f>
        <v>26082</v>
      </c>
      <c r="I21" s="13">
        <f>G21+H21</f>
        <v>170982</v>
      </c>
      <c r="J21" s="13">
        <f>G21*$J$6</f>
        <v>1449</v>
      </c>
      <c r="K21" s="13">
        <f>G21*$K$6</f>
        <v>7245</v>
      </c>
      <c r="L21" s="13"/>
      <c r="M21" s="13"/>
      <c r="N21" s="47">
        <f>H21</f>
        <v>26082</v>
      </c>
      <c r="O21" s="13"/>
      <c r="P21" s="13">
        <f>ROUND(I21-SUM(J21:O21),0)</f>
        <v>136206</v>
      </c>
      <c r="Q21" s="34"/>
      <c r="R21" s="13" t="s">
        <v>14</v>
      </c>
      <c r="S21" s="13">
        <v>136206</v>
      </c>
      <c r="T21" s="13">
        <v>0</v>
      </c>
      <c r="U21" s="35">
        <f>S21-T21</f>
        <v>136206</v>
      </c>
      <c r="V21" s="36" t="s">
        <v>13</v>
      </c>
      <c r="W21" s="23"/>
    </row>
    <row r="22" spans="1:119" x14ac:dyDescent="0.25">
      <c r="A22" s="4">
        <v>58241</v>
      </c>
      <c r="B22" s="32" t="s">
        <v>6</v>
      </c>
      <c r="C22" s="2">
        <v>45195</v>
      </c>
      <c r="D22" s="33">
        <v>5</v>
      </c>
      <c r="E22" s="13">
        <v>139300</v>
      </c>
      <c r="F22" s="13">
        <v>0</v>
      </c>
      <c r="G22" s="13">
        <f>ROUND(E22-F22,0)</f>
        <v>139300</v>
      </c>
      <c r="H22" s="13">
        <f>G22*18%</f>
        <v>25074</v>
      </c>
      <c r="I22" s="13">
        <f>G22+H22</f>
        <v>164374</v>
      </c>
      <c r="J22" s="13">
        <f>G22*$J$6</f>
        <v>1393</v>
      </c>
      <c r="K22" s="13">
        <f>G22*$K$6</f>
        <v>6965</v>
      </c>
      <c r="L22" s="13"/>
      <c r="M22" s="13"/>
      <c r="N22" s="47">
        <f>H22</f>
        <v>25074</v>
      </c>
      <c r="O22" s="13"/>
      <c r="P22" s="13">
        <f>ROUND(I22-SUM(J22:O22),0)</f>
        <v>130942</v>
      </c>
      <c r="Q22" s="34"/>
      <c r="R22" s="13" t="s">
        <v>29</v>
      </c>
      <c r="S22" s="13">
        <v>130942</v>
      </c>
      <c r="T22" s="13">
        <v>0</v>
      </c>
      <c r="U22" s="35">
        <f>S22-T22</f>
        <v>130942</v>
      </c>
      <c r="V22" s="36" t="s">
        <v>28</v>
      </c>
      <c r="W22" s="23"/>
    </row>
    <row r="23" spans="1:119" x14ac:dyDescent="0.25">
      <c r="A23" s="4">
        <v>58241</v>
      </c>
      <c r="B23" s="32" t="s">
        <v>44</v>
      </c>
      <c r="C23" s="2"/>
      <c r="D23" s="33">
        <v>5</v>
      </c>
      <c r="E23" s="13">
        <f>N21+N22</f>
        <v>51156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47">
        <f>E23</f>
        <v>51156</v>
      </c>
      <c r="Q23" s="34"/>
      <c r="R23" s="13"/>
      <c r="S23" s="13"/>
      <c r="T23" s="13"/>
      <c r="U23" s="35">
        <v>51156</v>
      </c>
      <c r="V23" s="36" t="s">
        <v>48</v>
      </c>
      <c r="W23" s="23"/>
    </row>
    <row r="24" spans="1:119" x14ac:dyDescent="0.25">
      <c r="A24" s="4">
        <v>58241</v>
      </c>
      <c r="B24" s="32"/>
      <c r="C24" s="2"/>
      <c r="D24" s="3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34"/>
      <c r="R24" s="13"/>
      <c r="S24" s="13"/>
      <c r="T24" s="13"/>
      <c r="U24" s="35"/>
      <c r="V24" s="36"/>
      <c r="W24" s="23"/>
    </row>
    <row r="25" spans="1:119" s="17" customFormat="1" x14ac:dyDescent="0.25">
      <c r="B25" s="37"/>
      <c r="C25" s="19"/>
      <c r="D25" s="3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31">
        <f>A26</f>
        <v>58486</v>
      </c>
      <c r="R25" s="18"/>
      <c r="S25" s="18"/>
      <c r="T25" s="18"/>
      <c r="U25" s="18"/>
      <c r="V25" s="22"/>
      <c r="W25" s="24">
        <f>SUM(P21:P24,0)-SUM(U21:U24,0)</f>
        <v>0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</row>
    <row r="26" spans="1:119" ht="28.5" x14ac:dyDescent="0.25">
      <c r="A26" s="4">
        <v>58486</v>
      </c>
      <c r="B26" s="32" t="s">
        <v>17</v>
      </c>
      <c r="C26" s="2">
        <v>45148</v>
      </c>
      <c r="D26" s="33">
        <v>4</v>
      </c>
      <c r="E26" s="13">
        <v>470584</v>
      </c>
      <c r="F26" s="13">
        <v>0</v>
      </c>
      <c r="G26" s="13">
        <f>ROUND(E26-F26,0)</f>
        <v>470584</v>
      </c>
      <c r="H26" s="13">
        <f>ROUND(G26*18%,0)</f>
        <v>84705</v>
      </c>
      <c r="I26" s="13">
        <f>G26+H26</f>
        <v>555289</v>
      </c>
      <c r="J26" s="13">
        <f>G26*$J$6</f>
        <v>4705.84</v>
      </c>
      <c r="K26" s="13">
        <f>G26*$K$6</f>
        <v>23529.200000000001</v>
      </c>
      <c r="L26" s="13">
        <f>G26*5%</f>
        <v>23529.200000000001</v>
      </c>
      <c r="M26" s="13">
        <f>G26*10%</f>
        <v>47058.400000000001</v>
      </c>
      <c r="N26" s="47">
        <f>H26</f>
        <v>84705</v>
      </c>
      <c r="O26" s="13">
        <v>1180</v>
      </c>
      <c r="P26" s="13">
        <f>ROUND(I26-SUM(J26:O26),0)</f>
        <v>370581</v>
      </c>
      <c r="Q26" s="34"/>
      <c r="R26" s="13" t="s">
        <v>18</v>
      </c>
      <c r="S26" s="13">
        <v>370582</v>
      </c>
      <c r="T26" s="13">
        <v>0</v>
      </c>
      <c r="U26" s="35">
        <f>S26-T26</f>
        <v>370582</v>
      </c>
      <c r="V26" s="36" t="s">
        <v>19</v>
      </c>
      <c r="W26" s="23"/>
    </row>
    <row r="27" spans="1:119" ht="28.5" x14ac:dyDescent="0.25">
      <c r="A27" s="4">
        <v>58486</v>
      </c>
      <c r="B27" s="32" t="s">
        <v>17</v>
      </c>
      <c r="C27" s="2">
        <v>45213</v>
      </c>
      <c r="D27" s="33">
        <v>7</v>
      </c>
      <c r="E27" s="13">
        <v>691770.5</v>
      </c>
      <c r="F27" s="13">
        <f>228*20</f>
        <v>4560</v>
      </c>
      <c r="G27" s="13">
        <f>ROUND(E27-F27,0)</f>
        <v>687211</v>
      </c>
      <c r="H27" s="13">
        <f>ROUND(G27*18%,0)</f>
        <v>123698</v>
      </c>
      <c r="I27" s="13">
        <f>G27+H27</f>
        <v>810909</v>
      </c>
      <c r="J27" s="13">
        <f>G27*$J$6</f>
        <v>6872.1100000000006</v>
      </c>
      <c r="K27" s="13">
        <f>G27*$K$6</f>
        <v>34360.550000000003</v>
      </c>
      <c r="L27" s="13">
        <f>G27*5%</f>
        <v>34360.550000000003</v>
      </c>
      <c r="M27" s="13">
        <f>G27*10%</f>
        <v>68721.100000000006</v>
      </c>
      <c r="N27" s="47">
        <f>H27</f>
        <v>123698</v>
      </c>
      <c r="O27" s="13">
        <v>23007</v>
      </c>
      <c r="P27" s="13">
        <f>ROUND(I27-SUM(J27:O27),0)</f>
        <v>519890</v>
      </c>
      <c r="Q27" s="34"/>
      <c r="R27" s="13" t="s">
        <v>23</v>
      </c>
      <c r="S27" s="13">
        <v>51988</v>
      </c>
      <c r="T27" s="13">
        <v>0</v>
      </c>
      <c r="U27" s="35">
        <v>519888</v>
      </c>
      <c r="V27" s="36" t="s">
        <v>22</v>
      </c>
      <c r="W27" s="23"/>
    </row>
    <row r="28" spans="1:119" ht="28.5" x14ac:dyDescent="0.25">
      <c r="A28" s="4">
        <v>58486</v>
      </c>
      <c r="B28" s="32" t="s">
        <v>17</v>
      </c>
      <c r="C28" s="2">
        <v>45335</v>
      </c>
      <c r="D28" s="33">
        <v>11</v>
      </c>
      <c r="E28" s="13">
        <v>1592282</v>
      </c>
      <c r="F28" s="13">
        <v>0</v>
      </c>
      <c r="G28" s="13">
        <f>ROUND(E28-F28,0)</f>
        <v>1592282</v>
      </c>
      <c r="H28" s="13">
        <f>ROUND(G28*18%,0)</f>
        <v>286611</v>
      </c>
      <c r="I28" s="13">
        <f>G28+H28</f>
        <v>1878893</v>
      </c>
      <c r="J28" s="13">
        <f>G28*$J$6</f>
        <v>15922.82</v>
      </c>
      <c r="K28" s="13">
        <f>G28*$K$6</f>
        <v>79614.100000000006</v>
      </c>
      <c r="L28" s="13">
        <f>G28*10%</f>
        <v>159228.20000000001</v>
      </c>
      <c r="M28" s="13">
        <f>G28*10%</f>
        <v>159228.20000000001</v>
      </c>
      <c r="N28" s="47">
        <f>H28</f>
        <v>286611</v>
      </c>
      <c r="O28" s="13">
        <v>114693</v>
      </c>
      <c r="P28" s="13">
        <f>ROUND(I28-SUM(J28:O28),0)</f>
        <v>1063596</v>
      </c>
      <c r="Q28" s="34"/>
      <c r="R28" s="13" t="s">
        <v>31</v>
      </c>
      <c r="S28" s="13">
        <v>200000</v>
      </c>
      <c r="T28" s="13">
        <f>S28*1%</f>
        <v>2000</v>
      </c>
      <c r="U28" s="35">
        <f>S28-T28</f>
        <v>198000</v>
      </c>
      <c r="V28" s="36" t="s">
        <v>30</v>
      </c>
      <c r="W28" s="23"/>
    </row>
    <row r="29" spans="1:119" x14ac:dyDescent="0.25">
      <c r="A29" s="4">
        <v>58486</v>
      </c>
      <c r="B29" s="32" t="s">
        <v>44</v>
      </c>
      <c r="C29" s="2"/>
      <c r="D29" s="33">
        <v>7</v>
      </c>
      <c r="E29" s="13">
        <f>N26+N27</f>
        <v>208403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47">
        <f>E29</f>
        <v>208403</v>
      </c>
      <c r="Q29" s="34"/>
      <c r="R29" s="13" t="s">
        <v>31</v>
      </c>
      <c r="S29" s="13">
        <v>20843</v>
      </c>
      <c r="T29" s="13">
        <f>S29*1%</f>
        <v>208.43</v>
      </c>
      <c r="U29" s="35">
        <v>208403</v>
      </c>
      <c r="V29" s="36" t="s">
        <v>43</v>
      </c>
      <c r="W29" s="23"/>
    </row>
    <row r="30" spans="1:119" ht="28.5" x14ac:dyDescent="0.25">
      <c r="A30" s="4">
        <v>58486</v>
      </c>
      <c r="B30" s="32" t="s">
        <v>17</v>
      </c>
      <c r="C30" s="2">
        <v>45454</v>
      </c>
      <c r="D30" s="33">
        <v>1</v>
      </c>
      <c r="E30" s="13">
        <v>924297</v>
      </c>
      <c r="F30" s="13">
        <v>0</v>
      </c>
      <c r="G30" s="13">
        <f>ROUND(E30-F30,0)</f>
        <v>924297</v>
      </c>
      <c r="H30" s="13">
        <f>ROUND(G30*18%,0)</f>
        <v>166373</v>
      </c>
      <c r="I30" s="13">
        <f>G30+H30</f>
        <v>1090670</v>
      </c>
      <c r="J30" s="13">
        <f>G30*$J$6</f>
        <v>9242.9699999999993</v>
      </c>
      <c r="K30" s="13">
        <f>G30*$K$6</f>
        <v>46214.850000000006</v>
      </c>
      <c r="L30" s="13">
        <f>G30*10%</f>
        <v>92429.700000000012</v>
      </c>
      <c r="M30" s="13">
        <f>G30*10%</f>
        <v>92429.700000000012</v>
      </c>
      <c r="N30" s="47">
        <f>H30</f>
        <v>166373</v>
      </c>
      <c r="O30" s="13">
        <v>4184</v>
      </c>
      <c r="P30" s="13">
        <f>ROUND(I30-SUM(J30:O30),0)</f>
        <v>679796</v>
      </c>
      <c r="Q30" s="34"/>
      <c r="R30" s="13"/>
      <c r="S30" s="13"/>
      <c r="T30" s="13"/>
      <c r="U30" s="35">
        <v>500000</v>
      </c>
      <c r="V30" s="36" t="s">
        <v>46</v>
      </c>
      <c r="W30" s="23"/>
    </row>
    <row r="31" spans="1:119" x14ac:dyDescent="0.25">
      <c r="A31" s="4">
        <v>58486</v>
      </c>
      <c r="B31" s="32" t="s">
        <v>53</v>
      </c>
      <c r="C31" s="2"/>
      <c r="D31" s="33">
        <v>1</v>
      </c>
      <c r="E31" s="13">
        <f>N30</f>
        <v>166373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47">
        <f>E31</f>
        <v>166373</v>
      </c>
      <c r="Q31" s="34"/>
      <c r="R31" s="13"/>
      <c r="S31" s="13"/>
      <c r="T31" s="13"/>
      <c r="U31" s="35">
        <v>365596</v>
      </c>
      <c r="V31" s="36" t="s">
        <v>51</v>
      </c>
      <c r="W31" s="23"/>
    </row>
    <row r="32" spans="1:119" x14ac:dyDescent="0.25">
      <c r="A32" s="4">
        <v>58486</v>
      </c>
      <c r="B32" s="32" t="s">
        <v>44</v>
      </c>
      <c r="C32" s="2"/>
      <c r="D32" s="33">
        <v>11</v>
      </c>
      <c r="E32" s="13">
        <f>N28</f>
        <v>286611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47">
        <f>E32</f>
        <v>286611</v>
      </c>
      <c r="Q32" s="34"/>
      <c r="R32" s="13"/>
      <c r="S32" s="13"/>
      <c r="T32" s="13"/>
      <c r="U32" s="35">
        <v>500000</v>
      </c>
      <c r="V32" s="36" t="s">
        <v>52</v>
      </c>
      <c r="W32" s="23"/>
    </row>
    <row r="33" spans="1:23" ht="28.5" x14ac:dyDescent="0.25">
      <c r="A33" s="4">
        <v>58486</v>
      </c>
      <c r="B33" s="32" t="s">
        <v>17</v>
      </c>
      <c r="C33" s="2">
        <v>45593</v>
      </c>
      <c r="D33" s="33">
        <v>2</v>
      </c>
      <c r="E33" s="13">
        <v>587193</v>
      </c>
      <c r="F33" s="13">
        <v>52500</v>
      </c>
      <c r="G33" s="13">
        <f>ROUND(E33-F33,0)</f>
        <v>534693</v>
      </c>
      <c r="H33" s="13">
        <f>ROUND(G33*18%,0)</f>
        <v>96245</v>
      </c>
      <c r="I33" s="13">
        <f>G33+H33</f>
        <v>630938</v>
      </c>
      <c r="J33" s="13">
        <f>G33*$J$6</f>
        <v>5346.93</v>
      </c>
      <c r="K33" s="13">
        <f>G33*$K$6</f>
        <v>26734.65</v>
      </c>
      <c r="L33" s="13">
        <f>G33*5%</f>
        <v>26734.65</v>
      </c>
      <c r="M33" s="13">
        <f>G33*10%</f>
        <v>53469.3</v>
      </c>
      <c r="N33" s="47">
        <f>H33</f>
        <v>96245</v>
      </c>
      <c r="O33" s="13"/>
      <c r="P33" s="13">
        <f>ROUND(I33-SUM(J33:O33),0)</f>
        <v>422407</v>
      </c>
      <c r="Q33" s="34"/>
      <c r="R33" s="13"/>
      <c r="S33" s="13"/>
      <c r="T33" s="13"/>
      <c r="U33" s="35">
        <v>179795</v>
      </c>
      <c r="V33" s="36" t="s">
        <v>54</v>
      </c>
      <c r="W33" s="23"/>
    </row>
    <row r="34" spans="1:23" x14ac:dyDescent="0.25">
      <c r="A34" s="4">
        <v>58486</v>
      </c>
      <c r="B34" s="32"/>
      <c r="C34" s="2"/>
      <c r="D34" s="3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34"/>
      <c r="R34" s="13"/>
      <c r="S34" s="13"/>
      <c r="T34" s="13"/>
      <c r="U34" s="35">
        <v>286611</v>
      </c>
      <c r="V34" s="36" t="s">
        <v>55</v>
      </c>
      <c r="W34" s="23"/>
    </row>
    <row r="35" spans="1:23" x14ac:dyDescent="0.25">
      <c r="A35" s="4">
        <v>58486</v>
      </c>
      <c r="B35" s="32"/>
      <c r="C35" s="2"/>
      <c r="D35" s="3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34"/>
      <c r="R35" s="13"/>
      <c r="S35" s="13"/>
      <c r="T35" s="13"/>
      <c r="U35" s="35">
        <v>300000</v>
      </c>
      <c r="V35" s="36" t="s">
        <v>56</v>
      </c>
      <c r="W35" s="23"/>
    </row>
    <row r="36" spans="1:23" x14ac:dyDescent="0.25">
      <c r="A36" s="17"/>
      <c r="B36" s="37"/>
      <c r="C36" s="19"/>
      <c r="D36" s="3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31">
        <f>A37</f>
        <v>59087</v>
      </c>
      <c r="R36" s="18"/>
      <c r="S36" s="18"/>
      <c r="T36" s="18"/>
      <c r="U36" s="18"/>
      <c r="V36" s="22"/>
      <c r="W36" s="24">
        <f>SUM(P26:P35,0)-SUM(U26:U35,0)</f>
        <v>288782</v>
      </c>
    </row>
    <row r="37" spans="1:23" ht="42.75" x14ac:dyDescent="0.25">
      <c r="A37" s="4">
        <v>59087</v>
      </c>
      <c r="B37" s="32" t="s">
        <v>63</v>
      </c>
      <c r="C37" s="2">
        <v>45278</v>
      </c>
      <c r="D37" s="33">
        <v>9</v>
      </c>
      <c r="E37" s="13">
        <v>624115</v>
      </c>
      <c r="F37" s="13">
        <v>4920</v>
      </c>
      <c r="G37" s="13">
        <f>ROUND(E37-F37,0)</f>
        <v>619195</v>
      </c>
      <c r="H37" s="13">
        <f>ROUND(G37*18%,0)</f>
        <v>111455</v>
      </c>
      <c r="I37" s="13">
        <f>G37+H37</f>
        <v>730650</v>
      </c>
      <c r="J37" s="13">
        <f>G37*$J$6</f>
        <v>6191.95</v>
      </c>
      <c r="K37" s="13">
        <f>G37*$K$6</f>
        <v>30959.75</v>
      </c>
      <c r="L37" s="13">
        <f>G37*10%</f>
        <v>61919.5</v>
      </c>
      <c r="M37" s="13">
        <f>G37*10%</f>
        <v>61919.5</v>
      </c>
      <c r="N37" s="47">
        <f>H37</f>
        <v>111455</v>
      </c>
      <c r="O37" s="13">
        <v>7507</v>
      </c>
      <c r="P37" s="13">
        <f>ROUND(I37-SUM(J37:O37),0)</f>
        <v>450697</v>
      </c>
      <c r="Q37" s="34"/>
      <c r="R37" s="13" t="s">
        <v>21</v>
      </c>
      <c r="S37" s="13">
        <v>150000</v>
      </c>
      <c r="T37" s="13">
        <f>S37*1%</f>
        <v>1500</v>
      </c>
      <c r="U37" s="35">
        <f>S37-T37</f>
        <v>148500</v>
      </c>
      <c r="V37" s="36" t="s">
        <v>20</v>
      </c>
      <c r="W37" s="23"/>
    </row>
    <row r="38" spans="1:23" x14ac:dyDescent="0.25">
      <c r="A38" s="4">
        <v>59087</v>
      </c>
      <c r="B38" s="32" t="s">
        <v>44</v>
      </c>
      <c r="C38" s="2"/>
      <c r="D38" s="33">
        <v>9</v>
      </c>
      <c r="E38" s="13">
        <f>N37</f>
        <v>111455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47">
        <f>E38</f>
        <v>111455</v>
      </c>
      <c r="Q38" s="34"/>
      <c r="R38" s="13" t="s">
        <v>39</v>
      </c>
      <c r="S38" s="13">
        <v>302196</v>
      </c>
      <c r="T38" s="13">
        <v>0</v>
      </c>
      <c r="U38" s="35">
        <f>S38-T38</f>
        <v>302196</v>
      </c>
      <c r="V38" s="36" t="s">
        <v>38</v>
      </c>
      <c r="W38" s="23"/>
    </row>
    <row r="39" spans="1:23" x14ac:dyDescent="0.25">
      <c r="A39" s="4">
        <v>59087</v>
      </c>
      <c r="B39" s="32"/>
      <c r="C39" s="42"/>
      <c r="D39" s="39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34"/>
      <c r="R39" s="13"/>
      <c r="S39" s="13"/>
      <c r="T39" s="13"/>
      <c r="U39" s="13">
        <v>111455</v>
      </c>
      <c r="V39" s="36" t="s">
        <v>49</v>
      </c>
      <c r="W39" s="23"/>
    </row>
    <row r="40" spans="1:23" x14ac:dyDescent="0.25">
      <c r="A40" s="4">
        <v>59087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34"/>
      <c r="R40" s="13"/>
      <c r="S40" s="13"/>
      <c r="T40" s="13"/>
      <c r="U40" s="13"/>
      <c r="V40" s="36"/>
      <c r="W40" s="23"/>
    </row>
    <row r="41" spans="1:23" x14ac:dyDescent="0.25">
      <c r="A41" s="17"/>
      <c r="B41" s="37"/>
      <c r="C41" s="19"/>
      <c r="D41" s="3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31"/>
      <c r="R41" s="18"/>
      <c r="S41" s="18"/>
      <c r="T41" s="18"/>
      <c r="U41" s="18"/>
      <c r="V41" s="22"/>
      <c r="W41" s="24">
        <f>SUM(P37:P40,0)-SUM(U37:U40,0)</f>
        <v>1</v>
      </c>
    </row>
    <row r="42" spans="1:23" x14ac:dyDescent="0.25">
      <c r="A42" s="14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43"/>
      <c r="P42" s="13"/>
      <c r="Q42" s="13"/>
      <c r="R42" s="13"/>
      <c r="S42" s="13"/>
      <c r="T42" s="13"/>
      <c r="U42" s="13"/>
      <c r="V42" s="13"/>
      <c r="W42" s="23"/>
    </row>
    <row r="43" spans="1:23" x14ac:dyDescent="0.25">
      <c r="A43" s="14"/>
      <c r="B43" s="13"/>
      <c r="C43" s="13"/>
      <c r="D43" s="13"/>
      <c r="E43" s="13"/>
      <c r="F43" s="13"/>
      <c r="G43" s="43"/>
      <c r="H43" s="43"/>
      <c r="I43" s="43"/>
      <c r="J43" s="43"/>
      <c r="K43" s="43">
        <f t="shared" ref="K43:O43" si="0">SUM(K8:K41)</f>
        <v>324977.95000000007</v>
      </c>
      <c r="L43" s="43">
        <f t="shared" si="0"/>
        <v>474238.30000000005</v>
      </c>
      <c r="M43" s="43">
        <f t="shared" si="0"/>
        <v>569769.9</v>
      </c>
      <c r="N43" s="43">
        <f t="shared" si="0"/>
        <v>1123330.74</v>
      </c>
      <c r="O43" s="43">
        <f t="shared" si="0"/>
        <v>166237</v>
      </c>
      <c r="P43" s="43">
        <f>SUM(P8:P41)</f>
        <v>5670184.5600000005</v>
      </c>
      <c r="Q43" s="43"/>
      <c r="R43" s="43" t="s">
        <v>4</v>
      </c>
      <c r="S43" s="43"/>
      <c r="T43" s="43"/>
      <c r="U43" s="43">
        <f>SUM(U8:U40)</f>
        <v>5265679</v>
      </c>
      <c r="V43" s="13"/>
      <c r="W43" s="43">
        <f>SUM(W6:W41)</f>
        <v>404505.56000000006</v>
      </c>
    </row>
    <row r="44" spans="1:23" x14ac:dyDescent="0.25">
      <c r="A44" s="14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23"/>
    </row>
    <row r="45" spans="1:23" x14ac:dyDescent="0.25">
      <c r="A45" s="14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43" t="s">
        <v>3</v>
      </c>
      <c r="S45" s="13"/>
      <c r="T45" s="13"/>
      <c r="U45" s="43">
        <f>P43-U43</f>
        <v>404505.56000000052</v>
      </c>
      <c r="V45" s="43"/>
      <c r="W45" s="23"/>
    </row>
    <row r="46" spans="1:23" ht="15.75" thickBot="1" x14ac:dyDescent="0.3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44"/>
    </row>
    <row r="49" spans="10:15" ht="15.75" thickBot="1" x14ac:dyDescent="0.3"/>
    <row r="50" spans="10:15" ht="19.5" thickBot="1" x14ac:dyDescent="0.3">
      <c r="J50" s="56" t="s">
        <v>5</v>
      </c>
      <c r="K50" s="57"/>
      <c r="L50" s="57"/>
      <c r="M50" s="58"/>
      <c r="O50" s="45"/>
    </row>
    <row r="51" spans="10:15" ht="19.5" thickBot="1" x14ac:dyDescent="0.3">
      <c r="J51" s="59">
        <v>45653</v>
      </c>
      <c r="K51" s="57"/>
      <c r="L51" s="57"/>
      <c r="M51" s="58"/>
    </row>
    <row r="52" spans="10:15" x14ac:dyDescent="0.25">
      <c r="J52" s="60" t="s">
        <v>33</v>
      </c>
      <c r="K52" s="61"/>
      <c r="L52" s="62">
        <f>K43+L43+M43</f>
        <v>1368986.1500000001</v>
      </c>
      <c r="M52" s="63"/>
    </row>
    <row r="53" spans="10:15" x14ac:dyDescent="0.25">
      <c r="J53" s="48" t="s">
        <v>34</v>
      </c>
      <c r="K53" s="49"/>
      <c r="L53" s="50" t="s">
        <v>37</v>
      </c>
      <c r="M53" s="51"/>
    </row>
    <row r="54" spans="10:15" x14ac:dyDescent="0.25">
      <c r="J54" s="48" t="s">
        <v>35</v>
      </c>
      <c r="K54" s="49"/>
      <c r="L54" s="50">
        <f>U45</f>
        <v>404505.56000000052</v>
      </c>
      <c r="M54" s="51"/>
      <c r="N54" s="4" t="s">
        <v>50</v>
      </c>
    </row>
    <row r="55" spans="10:15" ht="15.75" thickBot="1" x14ac:dyDescent="0.3">
      <c r="J55" s="52" t="s">
        <v>36</v>
      </c>
      <c r="K55" s="53"/>
      <c r="L55" s="54">
        <f>N33</f>
        <v>96245</v>
      </c>
      <c r="M55" s="55"/>
    </row>
  </sheetData>
  <mergeCells count="10">
    <mergeCell ref="J54:K54"/>
    <mergeCell ref="L54:M54"/>
    <mergeCell ref="J55:K55"/>
    <mergeCell ref="L55:M55"/>
    <mergeCell ref="J50:M50"/>
    <mergeCell ref="J51:M51"/>
    <mergeCell ref="J52:K52"/>
    <mergeCell ref="L52:M52"/>
    <mergeCell ref="J53:K53"/>
    <mergeCell ref="L53:M53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2025-04-01T09:51:13Z</dcterms:modified>
</cp:coreProperties>
</file>