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1" l="1"/>
  <c r="O12" i="2" l="1"/>
  <c r="O10" i="2"/>
  <c r="O8" i="2"/>
  <c r="O6" i="2"/>
  <c r="K33" i="2"/>
  <c r="L13" i="2"/>
  <c r="G13" i="2"/>
  <c r="K13" i="2" s="1"/>
  <c r="G11" i="2"/>
  <c r="K11" i="2" s="1"/>
  <c r="S20" i="2"/>
  <c r="G9" i="2"/>
  <c r="G7" i="2"/>
  <c r="M18" i="2"/>
  <c r="K30" i="2" s="1"/>
  <c r="L35" i="1"/>
  <c r="G35" i="1"/>
  <c r="G12" i="1"/>
  <c r="J12" i="1" s="1"/>
  <c r="G20" i="1"/>
  <c r="L20" i="1" s="1"/>
  <c r="G30" i="1"/>
  <c r="L30" i="1" s="1"/>
  <c r="K82" i="1"/>
  <c r="G60" i="1"/>
  <c r="L60" i="1" s="1"/>
  <c r="G58" i="1"/>
  <c r="L58" i="1" s="1"/>
  <c r="G51" i="1"/>
  <c r="L51" i="1" s="1"/>
  <c r="E53" i="1" s="1"/>
  <c r="N53" i="1" s="1"/>
  <c r="G50" i="1"/>
  <c r="J50" i="1" s="1"/>
  <c r="G43" i="1"/>
  <c r="J43" i="1" s="1"/>
  <c r="G42" i="1"/>
  <c r="L42" i="1" s="1"/>
  <c r="O57" i="1"/>
  <c r="U49" i="1"/>
  <c r="O49" i="1"/>
  <c r="O41" i="1"/>
  <c r="K30" i="1" l="1"/>
  <c r="K20" i="1"/>
  <c r="U10" i="2"/>
  <c r="L11" i="2"/>
  <c r="H11" i="2"/>
  <c r="I11" i="2" s="1"/>
  <c r="H13" i="2"/>
  <c r="I13" i="2" s="1"/>
  <c r="J11" i="2"/>
  <c r="J13" i="2"/>
  <c r="J7" i="2"/>
  <c r="J9" i="2"/>
  <c r="K7" i="2"/>
  <c r="K9" i="2"/>
  <c r="H7" i="2"/>
  <c r="L7" i="2" s="1"/>
  <c r="H9" i="2"/>
  <c r="I9" i="2" s="1"/>
  <c r="L9" i="2"/>
  <c r="J20" i="1"/>
  <c r="H12" i="1"/>
  <c r="L12" i="1" s="1"/>
  <c r="H20" i="1"/>
  <c r="I20" i="1" s="1"/>
  <c r="J35" i="1"/>
  <c r="K35" i="1"/>
  <c r="H35" i="1"/>
  <c r="I35" i="1" s="1"/>
  <c r="K12" i="1"/>
  <c r="J30" i="1"/>
  <c r="H30" i="1"/>
  <c r="I30" i="1" s="1"/>
  <c r="L43" i="1"/>
  <c r="K43" i="1"/>
  <c r="H43" i="1"/>
  <c r="I43" i="1" s="1"/>
  <c r="J51" i="1"/>
  <c r="J60" i="1"/>
  <c r="K60" i="1"/>
  <c r="H60" i="1"/>
  <c r="I60" i="1" s="1"/>
  <c r="K58" i="1"/>
  <c r="J58" i="1"/>
  <c r="H58" i="1"/>
  <c r="I58" i="1" s="1"/>
  <c r="K50" i="1"/>
  <c r="H50" i="1"/>
  <c r="I50" i="1" s="1"/>
  <c r="L50" i="1"/>
  <c r="E52" i="1" s="1"/>
  <c r="N52" i="1" s="1"/>
  <c r="U57" i="1" s="1"/>
  <c r="K51" i="1"/>
  <c r="H51" i="1"/>
  <c r="I51" i="1" s="1"/>
  <c r="K42" i="1"/>
  <c r="J42" i="1"/>
  <c r="H42" i="1"/>
  <c r="I42" i="1" s="1"/>
  <c r="G38" i="1"/>
  <c r="J38" i="1" s="1"/>
  <c r="G37" i="1"/>
  <c r="O36" i="1"/>
  <c r="E18" i="1"/>
  <c r="E25" i="1"/>
  <c r="N35" i="1" l="1"/>
  <c r="N30" i="1"/>
  <c r="N20" i="1"/>
  <c r="N11" i="2"/>
  <c r="K18" i="2"/>
  <c r="K29" i="2" s="1"/>
  <c r="N13" i="2"/>
  <c r="J18" i="2"/>
  <c r="I7" i="2"/>
  <c r="N7" i="2" s="1"/>
  <c r="U12" i="2"/>
  <c r="N9" i="2"/>
  <c r="L18" i="2"/>
  <c r="I12" i="1"/>
  <c r="N12" i="1" s="1"/>
  <c r="N60" i="1"/>
  <c r="N58" i="1"/>
  <c r="H37" i="1"/>
  <c r="I37" i="1" s="1"/>
  <c r="L37" i="1"/>
  <c r="K37" i="1"/>
  <c r="H38" i="1"/>
  <c r="I38" i="1" s="1"/>
  <c r="L38" i="1"/>
  <c r="K38" i="1"/>
  <c r="J37" i="1"/>
  <c r="S32" i="1"/>
  <c r="S28" i="1"/>
  <c r="S24" i="1"/>
  <c r="S23" i="1"/>
  <c r="S22" i="1"/>
  <c r="S17" i="1"/>
  <c r="S16" i="1"/>
  <c r="S9" i="1"/>
  <c r="S8" i="1"/>
  <c r="U17" i="2" l="1"/>
  <c r="U8" i="2"/>
  <c r="U19" i="2" s="1"/>
  <c r="N20" i="2"/>
  <c r="S22" i="2" s="1"/>
  <c r="K31" i="2" s="1"/>
  <c r="U65" i="1"/>
  <c r="N38" i="1"/>
  <c r="E39" i="1"/>
  <c r="N39" i="1" s="1"/>
  <c r="N37" i="1"/>
  <c r="S68" i="1"/>
  <c r="L33" i="1"/>
  <c r="G33" i="1"/>
  <c r="K33" i="1" s="1"/>
  <c r="L32" i="1"/>
  <c r="U41" i="1" l="1"/>
  <c r="E34" i="1"/>
  <c r="H33" i="1"/>
  <c r="I33" i="1" s="1"/>
  <c r="J33" i="1"/>
  <c r="G32" i="1"/>
  <c r="H32" i="1" s="1"/>
  <c r="E24" i="1"/>
  <c r="N24" i="1" s="1"/>
  <c r="U27" i="1" s="1"/>
  <c r="O15" i="1"/>
  <c r="G17" i="1"/>
  <c r="L17" i="1" s="1"/>
  <c r="E19" i="1" s="1"/>
  <c r="O27" i="1"/>
  <c r="O21" i="1"/>
  <c r="O7" i="1"/>
  <c r="H17" i="1" l="1"/>
  <c r="I17" i="1" s="1"/>
  <c r="J17" i="1"/>
  <c r="N33" i="1"/>
  <c r="K32" i="1"/>
  <c r="J32" i="1"/>
  <c r="K17" i="1"/>
  <c r="G28" i="1"/>
  <c r="M8" i="1"/>
  <c r="M66" i="1" s="1"/>
  <c r="K79" i="1" s="1"/>
  <c r="E9" i="1"/>
  <c r="G9" i="1" s="1"/>
  <c r="J9" i="1" s="1"/>
  <c r="N17" i="1" l="1"/>
  <c r="U21" i="1" s="1"/>
  <c r="I32" i="1"/>
  <c r="N32" i="1" s="1"/>
  <c r="U36" i="1" s="1"/>
  <c r="K28" i="1"/>
  <c r="H28" i="1"/>
  <c r="L28" i="1" s="1"/>
  <c r="E29" i="1" s="1"/>
  <c r="J28" i="1"/>
  <c r="H9" i="1"/>
  <c r="L9" i="1" s="1"/>
  <c r="E11" i="1" s="1"/>
  <c r="K9" i="1"/>
  <c r="E8" i="1"/>
  <c r="I28" i="1" l="1"/>
  <c r="N28" i="1" s="1"/>
  <c r="U31" i="1" s="1"/>
  <c r="I9" i="1"/>
  <c r="N9" i="1" s="1"/>
  <c r="G8" i="1" l="1"/>
  <c r="H8" i="1" l="1"/>
  <c r="K8" i="1"/>
  <c r="J8" i="1"/>
  <c r="J66" i="1" s="1"/>
  <c r="K66" i="1" l="1"/>
  <c r="K78" i="1" s="1"/>
  <c r="K83" i="1" s="1"/>
  <c r="L8" i="1"/>
  <c r="L66" i="1" s="1"/>
  <c r="I8" i="1"/>
  <c r="E10" i="1" l="1"/>
  <c r="N8" i="1"/>
  <c r="U15" i="1" l="1"/>
  <c r="U67" i="1" s="1"/>
  <c r="N68" i="1"/>
  <c r="S70" i="1" s="1"/>
  <c r="K80" i="1" s="1"/>
  <c r="K84" i="1" s="1"/>
  <c r="K85" i="1" s="1"/>
</calcChain>
</file>

<file path=xl/sharedStrings.xml><?xml version="1.0" encoding="utf-8"?>
<sst xmlns="http://schemas.openxmlformats.org/spreadsheetml/2006/main" count="180" uniqueCount="128">
  <si>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</si>
  <si>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</si>
  <si>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</si>
  <si>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</si>
  <si>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</si>
  <si>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</si>
  <si>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</si>
  <si>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</si>
  <si>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</si>
  <si>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</si>
  <si>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</si>
  <si>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</si>
  <si>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</si>
  <si>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</si>
  <si>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TDS Amount @ 1% on BASIC AMOUNT</t>
  </si>
  <si>
    <t xml:space="preserve">Debit </t>
  </si>
  <si>
    <t>After Debit Amt</t>
  </si>
  <si>
    <t>Muzaffarnagar UP</t>
  </si>
  <si>
    <t>Total Payable Amount Rs. -</t>
  </si>
  <si>
    <t>Balance Payable Amount Rs. -</t>
  </si>
  <si>
    <t>Total Paid Amount Rs. -</t>
  </si>
  <si>
    <t>Hold Amount against Material</t>
  </si>
  <si>
    <t>DVR Traders</t>
  </si>
  <si>
    <t>Dabal Village Boundary wall work</t>
  </si>
  <si>
    <t>29-05-2023 NEFT/AXISP00393029899/RIUP23/421/DVR TRADERS 183158.00</t>
  </si>
  <si>
    <t>RIUP23/421</t>
  </si>
  <si>
    <t>Khabbarpur Village Boundary wall work</t>
  </si>
  <si>
    <t xml:space="preserve">Dabal  village -Pump house work  </t>
  </si>
  <si>
    <t>RIUP22/2788</t>
  </si>
  <si>
    <t>31-03-2023 NEFT/AXISP00377327411/RIUP22/2788/DVR TRADERS 112349.00</t>
  </si>
  <si>
    <t>Bhoopkheri Village Boundary wall work</t>
  </si>
  <si>
    <t>20-06-2023 NEFT/AXISP00399675461/RIUP23/733/DVR TRADERS 94422.00</t>
  </si>
  <si>
    <t>RIUP23/733</t>
  </si>
  <si>
    <t>31-07-2023 NEFT/AXISP00410478615/RIUP23/1271/DVR TRADERS ₹ 80,341.00</t>
  </si>
  <si>
    <t>RIUP23/1271</t>
  </si>
  <si>
    <t>29-05-2023 NEFT/AXISP00393029890/RIUP23/409/DVR TRADERS 161516.00</t>
  </si>
  <si>
    <t>RIUP23/409</t>
  </si>
  <si>
    <t>29-05-2023 NEFT/AXISP00393085069/RIUP23/430/DVR TRADERS 141510.00</t>
  </si>
  <si>
    <t>16-06-2023 NEFT/AXISP00399009122/RIUP23/657/DVR TRADERS 22722.00</t>
  </si>
  <si>
    <t>RIUP23/430</t>
  </si>
  <si>
    <t>RIUP23/657</t>
  </si>
  <si>
    <t>GST Release Note</t>
  </si>
  <si>
    <t>22-08-2023 NEFT/AXISP00417520216/RIUP23/1495/DVR TRADERS 199396.00</t>
  </si>
  <si>
    <t>RIUP23/1495</t>
  </si>
  <si>
    <t>Khabbarpur Village PH  work</t>
  </si>
  <si>
    <t>03-10-2023 NEFT/AXISP00430096875/RIUP23/2429/DVR TRADERS 197580.00</t>
  </si>
  <si>
    <t>RIUP23/2429</t>
  </si>
  <si>
    <t>01-11-2023 NEFT/AXISP00439227017/RIUP23/3007/DVR TRADERS/BARB0KANMEE 108580.00</t>
  </si>
  <si>
    <t>22-12-2023 NEFT/AXISP00455032183/RIUP23/3892/DVR TRADERS/BARB0KANMEE 61920.00</t>
  </si>
  <si>
    <t>RIUP23/3007</t>
  </si>
  <si>
    <t>RIUP23/3892</t>
  </si>
  <si>
    <t>22-12-2023 NEFT/AXISP00455046737/RIUP23/3893/DVR TRADERS/BARB0KANMEE 40327.00</t>
  </si>
  <si>
    <t>RIUP23/3893</t>
  </si>
  <si>
    <t>22-12-2023 NEFT/AXISP00455032180/RIUP23/3898/DVR TRADERS/BARB0KANMEE 28620.00</t>
  </si>
  <si>
    <t>22-12-2023 NEFT/AXISP00455046743/RIUP23/3894/DVRTRADERS/BARB0KANMEE 47721.00</t>
  </si>
  <si>
    <t>RIUP23/3898</t>
  </si>
  <si>
    <t>RIUP23/3894</t>
  </si>
  <si>
    <t>22-12-2023 NEFT/AXISP00455046741/RIUP23/3896/DVR TRADERS/BARB0KANMEE 18081.00</t>
  </si>
  <si>
    <t>22-12-2023 NEFT/AXISP00455046740/RIUP23/3897/DVR TRADERS/BARB0KANMEE 50823.00</t>
  </si>
  <si>
    <t>RIUP23/3897</t>
  </si>
  <si>
    <t>RIUP23/3896</t>
  </si>
  <si>
    <t>Advance / Surplus</t>
  </si>
  <si>
    <t>GST Remaining</t>
  </si>
  <si>
    <t>DPR Excess Hold / Other Hold</t>
  </si>
  <si>
    <t>31-10-2024 NEFT/AXISP00561901248/RIUP24/2393/DVR TRADERS/BARB0KANMEE 49500.00</t>
  </si>
  <si>
    <t>Advance</t>
  </si>
  <si>
    <t>RIUP24/2393</t>
  </si>
  <si>
    <t>Nil</t>
  </si>
  <si>
    <t>07-02-2023 NEFT/AXISP00361336126/RIUP22/2110/DVR TRADERS ₹ 1,46,914.00</t>
  </si>
  <si>
    <t>20-04-2023 20-04-2023 NEFT/AXISP00383281372/SPUP23/0164A/DVR TRADERS 29713.00</t>
  </si>
  <si>
    <t>20-04-2023 20-04-2023 NEFT/AXISP00383281373/SPUP23/0158/DVR TRADERS 131720.00</t>
  </si>
  <si>
    <t>22-12-2023 NEFT/AXISP00455046742/RIUP23/3895/DVR TRADERS/BARB0KANMEE 26640.00</t>
  </si>
  <si>
    <t>24-02-2023 NEFT/AXISP00365393660/RIUP22/2294/DVR TRADERS 197580.00</t>
  </si>
  <si>
    <t>19-04-2023 19-04-2023 NEFT/AXISP00382928315/SPUP23/0167/DVR TRADERS 39960.00</t>
  </si>
  <si>
    <t>18-05-2023 NEFT/AXISP00391091650/RIUP23/292/DVR TRADERS 76571.00</t>
  </si>
  <si>
    <t>22-12-2023 NEFT/AXISP00455032178/RIUP23/3901/DVR TRADERS/BARB0KANMEE 15486.00</t>
  </si>
  <si>
    <t>27-02-2023 NEFT/AXISP00365798695/RIUP22/2297/DVR TRADERS 197580.00</t>
  </si>
  <si>
    <t>31-03-2023 NEFT/AXISP00377327413/RIUP22/2797/DVR TRADERS 76571.00</t>
  </si>
  <si>
    <t>19-04-2023 19-04-2023 NEFT/AXISP00382928316/SPUP23/0166/DVR TRADERS 39960.00</t>
  </si>
  <si>
    <t>16-06-2023 NEFT/AXISP00399009124/RIUP23/659/DVR TRADERS 15486.00</t>
  </si>
  <si>
    <t>06-03-2023 NEFT/AXISP00369001726/RIUP22/2461/DVR TRADERS 136023.00</t>
  </si>
  <si>
    <t>31-03-2023 NEFT/AXISP00377327412/RIUP22/2796/DVR TRADERS 141510.00</t>
  </si>
  <si>
    <t>19-04-2023 19-04-2023 NEFT/AXISP00382928317/SPUP23/0164/DVR TRADERS 27510.00</t>
  </si>
  <si>
    <t>16-06-2023 NEFT/AXISP00399009123/RIUP23/658/DVR TRADERS 28620.00</t>
  </si>
  <si>
    <t>Total Hold ( SD )</t>
  </si>
  <si>
    <t>Extra Brickwork ( 24Cum )</t>
  </si>
  <si>
    <t xml:space="preserve">DVR Traders  </t>
  </si>
  <si>
    <t>Subtractive</t>
  </si>
  <si>
    <t>Balance</t>
  </si>
  <si>
    <t>Total Additive</t>
  </si>
  <si>
    <t>Boundary wall &amp; Pump House Work</t>
  </si>
  <si>
    <t>GST</t>
  </si>
  <si>
    <t>New Bill</t>
  </si>
  <si>
    <t>Advance / Balance Payable</t>
  </si>
  <si>
    <t>11-12-2024 NEFT/AXISP00583415757/RIUP24/2679/DVR TRADERS/BARB0KANMEE 99000.00</t>
  </si>
  <si>
    <t>11-12-2024 NEFT/AXISP00583415764/RIUP24/2686/DVR TRADERS/BARB0KANMEE 79200.00</t>
  </si>
  <si>
    <t>11-12-2024 NEFT/AXISP00583415755/RIUP24/2678/DVR TRADERS/BARB0KANMEE 99000.00</t>
  </si>
  <si>
    <t>11-12-2024 NEFT/AXISP00583415763/RIUP24/2685/DVR TRADERS/BARB0KANMEE 79200.00</t>
  </si>
  <si>
    <t>11-12-2024 NEFT/AXISP00583415759/RIUP24/2681/DVR TRADERS/BARB0KANMEE 29700.00</t>
  </si>
  <si>
    <t>11-12-2024 NEFT/AXISP00583415758/RIUP24/2680/DVR TRADERS/BARB0KANMEE 69300.00</t>
  </si>
  <si>
    <t>11-12-2024 NEFT/AXISP00583415760/RIUP24/2682/DVR TRADERS/BARB0KANMEE 99000.00</t>
  </si>
  <si>
    <t>11-12-2024 NEFT/AXISP00583415761/RIUP24/2683/DVR TRADERS/BARB0KANMEE 74250.00</t>
  </si>
  <si>
    <t>11-12-2024 NEFT/AXISP00583415762/RIUP24/2684/DVR TRADERS/BARB0KANMEE 64350.00</t>
  </si>
  <si>
    <t>Updated on 12-12-2024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</si>
  <si>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</si>
  <si>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</si>
  <si>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</si>
  <si>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</si>
  <si>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</si>
  <si>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</si>
  <si>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</si>
  <si>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</si>
  <si>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</si>
  <si>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</si>
  <si>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</si>
  <si>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</si>
  <si>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</si>
  <si>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</si>
  <si>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</si>
  <si>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</si>
  <si>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</si>
  <si>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</si>
  <si>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</si>
  <si>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Total_Amount</t>
  </si>
  <si>
    <t>Godhna Village  Pump house work at Godhna Village </t>
  </si>
  <si>
    <t>Mujahidpur village Pump House Work At Mujahidpur</t>
  </si>
  <si>
    <t>Mohidinpur Village Pump house work in Mohidinpur Village</t>
  </si>
  <si>
    <t>Bhoophkedi Village PUMP HOUSE work At Bhoophkedi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</si>
</sst>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11" xfId="1" applyNumberFormat="1" applyFont="1" applyFill="1" applyBorder="1" applyAlignment="1">
      <alignment horizontal="center" vertical="center"/>
    </xf>
    <xf numFmtId="43" fontId="5" fillId="2" borderId="12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5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43" fontId="3" fillId="2" borderId="6" xfId="1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3" fontId="3" fillId="2" borderId="14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2" borderId="0" xfId="0" applyNumberFormat="1" applyFill="1" applyAlignment="1">
      <alignment vertical="center"/>
    </xf>
    <xf numFmtId="14" fontId="3" fillId="2" borderId="14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5" fontId="9" fillId="2" borderId="4" xfId="0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7" xfId="1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7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3" fontId="11" fillId="2" borderId="8" xfId="1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topLeftCell="E32" zoomScaleNormal="100" workbookViewId="0">
      <selection activeCell="O50" sqref="O50"/>
    </sheetView>
  </sheetViews>
  <sheetFormatPr defaultColWidth="9" defaultRowHeight="13.5" customHeight="1" x14ac:dyDescent="0.25"/>
  <cols>
    <col min="1" max="1" width="11" style="5" customWidth="1"/>
    <col min="2" max="2" width="22" style="5" customWidth="1"/>
    <col min="3" max="3" width="13.42578125" style="5" bestFit="1" customWidth="1"/>
    <col min="4" max="4" width="16.7109375" style="5" customWidth="1"/>
    <col min="5" max="5" width="13.28515625" style="5" bestFit="1" customWidth="1"/>
    <col min="6" max="7" width="13.28515625" style="5" customWidth="1"/>
    <col min="8" max="8" width="14.7109375" style="17" customWidth="1"/>
    <col min="9" max="9" width="12.85546875" style="17" bestFit="1" customWidth="1"/>
    <col min="10" max="10" width="15.140625" style="5" customWidth="1"/>
    <col min="11" max="11" width="12.28515625" style="5" bestFit="1" customWidth="1"/>
    <col min="12" max="12" width="14.85546875" style="5" customWidth="1"/>
    <col min="13" max="13" width="11" style="5" customWidth="1"/>
    <col min="14" max="14" width="14.85546875" style="5" customWidth="1"/>
    <col min="15" max="15" width="9.28515625" style="5" customWidth="1"/>
    <col min="16" max="16" width="15.7109375" style="5" hidden="1" customWidth="1"/>
    <col min="17" max="17" width="12.7109375" style="5" hidden="1" customWidth="1"/>
    <col min="18" max="18" width="14.5703125" style="5" hidden="1" customWidth="1"/>
    <col min="19" max="19" width="16.140625" style="5" bestFit="1" customWidth="1"/>
    <col min="20" max="20" width="82.5703125" style="5" bestFit="1" customWidth="1"/>
    <col min="21" max="21" width="12.7109375" style="5" bestFit="1" customWidth="1"/>
    <col min="22" max="16384" width="9" style="5"/>
  </cols>
  <sheetData>
    <row r="1" spans="1:21" ht="13.5" customHeight="1" x14ac:dyDescent="0.25">
      <c r="A1" s="68" t="s">
        <v>104</v>
      </c>
      <c r="B1" s="4" t="s">
        <v>22</v>
      </c>
      <c r="E1" s="6"/>
      <c r="F1" s="6"/>
      <c r="G1" s="6"/>
      <c r="H1" s="7"/>
      <c r="I1" s="7"/>
    </row>
    <row r="2" spans="1:21" ht="13.5" customHeight="1" x14ac:dyDescent="0.25">
      <c r="A2" s="68" t="s">
        <v>105</v>
      </c>
      <c r="B2" s="69" t="s">
        <v>108</v>
      </c>
      <c r="C2" s="9"/>
      <c r="D2" s="9" t="s">
        <v>22</v>
      </c>
      <c r="G2" s="10" t="s">
        <v>90</v>
      </c>
      <c r="I2" s="10"/>
      <c r="J2" s="11"/>
      <c r="K2" s="11"/>
      <c r="L2" s="11"/>
      <c r="M2" s="11"/>
      <c r="N2" s="11"/>
      <c r="O2" s="11"/>
      <c r="P2" s="11"/>
      <c r="Q2" s="11"/>
      <c r="R2" s="11"/>
    </row>
    <row r="3" spans="1:21" ht="13.5" customHeight="1" thickBot="1" x14ac:dyDescent="0.3">
      <c r="A3" s="68" t="s">
        <v>106</v>
      </c>
      <c r="B3" s="69" t="s">
        <v>109</v>
      </c>
      <c r="C3" s="9"/>
      <c r="D3" s="9"/>
      <c r="G3" s="10"/>
      <c r="I3" s="10"/>
      <c r="J3" s="11"/>
      <c r="K3" s="11"/>
      <c r="L3" s="11"/>
      <c r="M3" s="11"/>
      <c r="N3" s="11"/>
      <c r="O3" s="11"/>
      <c r="P3" s="11"/>
      <c r="Q3" s="11"/>
      <c r="R3" s="11"/>
    </row>
    <row r="4" spans="1:21" ht="13.5" customHeight="1" thickBot="1" x14ac:dyDescent="0.3">
      <c r="A4" s="68" t="s">
        <v>107</v>
      </c>
      <c r="B4" s="69" t="s">
        <v>109</v>
      </c>
      <c r="C4" s="12"/>
      <c r="D4" s="12"/>
      <c r="E4" s="12"/>
      <c r="F4" s="11"/>
      <c r="G4" s="11"/>
      <c r="H4" s="13"/>
      <c r="I4" s="13"/>
      <c r="J4" s="11"/>
      <c r="K4" s="11"/>
      <c r="P4" s="11"/>
      <c r="Q4" s="14"/>
      <c r="R4" s="14"/>
      <c r="S4" s="14"/>
      <c r="T4" s="14"/>
      <c r="U4" s="14"/>
    </row>
    <row r="5" spans="1:21" ht="39" customHeight="1" thickBot="1" x14ac:dyDescent="0.3">
      <c r="A5" s="70" t="s">
        <v>110</v>
      </c>
      <c r="B5" s="71" t="s">
        <v>111</v>
      </c>
      <c r="C5" s="72" t="s">
        <v>112</v>
      </c>
      <c r="D5" s="73" t="s">
        <v>113</v>
      </c>
      <c r="E5" s="71" t="s">
        <v>114</v>
      </c>
      <c r="F5" s="71" t="s">
        <v>115</v>
      </c>
      <c r="G5" s="73" t="s">
        <v>116</v>
      </c>
      <c r="H5" s="74" t="s">
        <v>117</v>
      </c>
      <c r="I5" s="75" t="s">
        <v>6</v>
      </c>
      <c r="J5" s="71" t="s">
        <v>118</v>
      </c>
      <c r="K5" s="71" t="s">
        <v>119</v>
      </c>
      <c r="L5" s="30" t="s">
        <v>120</v>
      </c>
      <c r="M5" s="30" t="s">
        <v>121</v>
      </c>
      <c r="N5" s="30" t="s">
        <v>122</v>
      </c>
      <c r="O5" s="1"/>
      <c r="P5" s="29" t="s">
        <v>9</v>
      </c>
      <c r="Q5" s="29" t="s">
        <v>6</v>
      </c>
      <c r="R5" s="29" t="s">
        <v>14</v>
      </c>
      <c r="S5" s="71" t="s">
        <v>123</v>
      </c>
      <c r="T5" s="71" t="s">
        <v>11</v>
      </c>
      <c r="U5" s="29" t="s">
        <v>65</v>
      </c>
    </row>
    <row r="6" spans="1:21" ht="13.5" customHeight="1" x14ac:dyDescent="0.25">
      <c r="B6" s="20"/>
      <c r="C6" s="20"/>
      <c r="D6" s="20"/>
      <c r="E6" s="20"/>
      <c r="F6" s="20"/>
      <c r="G6" s="20"/>
      <c r="H6" s="31">
        <v>0.18</v>
      </c>
      <c r="I6" s="20"/>
      <c r="J6" s="31">
        <v>0.01</v>
      </c>
      <c r="K6" s="31">
        <v>0.05</v>
      </c>
      <c r="L6" s="31">
        <v>0.18</v>
      </c>
      <c r="M6" s="31"/>
      <c r="N6" s="20"/>
      <c r="O6" s="32"/>
      <c r="P6" s="20"/>
      <c r="Q6" s="20"/>
      <c r="R6" s="31">
        <v>0.01</v>
      </c>
      <c r="S6" s="20"/>
      <c r="T6" s="20"/>
      <c r="U6" s="20"/>
    </row>
    <row r="7" spans="1:21" s="18" customFormat="1" ht="13.5" customHeight="1" x14ac:dyDescent="0.25">
      <c r="B7" s="19"/>
      <c r="C7" s="19"/>
      <c r="D7" s="19"/>
      <c r="E7" s="19"/>
      <c r="F7" s="19"/>
      <c r="G7" s="19"/>
      <c r="H7" s="33"/>
      <c r="I7" s="19"/>
      <c r="J7" s="33"/>
      <c r="K7" s="33"/>
      <c r="L7" s="33"/>
      <c r="M7" s="33"/>
      <c r="N7" s="19"/>
      <c r="O7" s="34">
        <f>A8</f>
        <v>57527</v>
      </c>
      <c r="P7" s="19"/>
      <c r="Q7" s="19"/>
      <c r="R7" s="33"/>
      <c r="S7" s="19"/>
      <c r="T7" s="19"/>
      <c r="U7" s="19"/>
    </row>
    <row r="8" spans="1:21" ht="27" customHeight="1" x14ac:dyDescent="0.25">
      <c r="A8" s="5">
        <v>57527</v>
      </c>
      <c r="B8" s="35" t="s">
        <v>23</v>
      </c>
      <c r="C8" s="2">
        <v>45068</v>
      </c>
      <c r="D8" s="36">
        <v>4</v>
      </c>
      <c r="E8" s="15">
        <f>(143.5*3500)*60%</f>
        <v>301350</v>
      </c>
      <c r="F8" s="15">
        <v>19000</v>
      </c>
      <c r="G8" s="15">
        <f>ROUND(E8-F8,0)</f>
        <v>282350</v>
      </c>
      <c r="H8" s="15">
        <f>ROUND(G8*H6,0)</f>
        <v>50823</v>
      </c>
      <c r="I8" s="15">
        <f>G8+H8</f>
        <v>333173</v>
      </c>
      <c r="J8" s="15">
        <f>G8*$J$6</f>
        <v>2823.5</v>
      </c>
      <c r="K8" s="15">
        <f>G8*$K$6</f>
        <v>14117.5</v>
      </c>
      <c r="L8" s="15">
        <f>H8</f>
        <v>50823</v>
      </c>
      <c r="M8" s="15">
        <f>23.5*3500</f>
        <v>82250</v>
      </c>
      <c r="N8" s="15">
        <f>ROUND(I8-SUM(J8:M8),0)</f>
        <v>183159</v>
      </c>
      <c r="O8" s="37"/>
      <c r="P8" s="15" t="s">
        <v>25</v>
      </c>
      <c r="Q8" s="15">
        <v>183158</v>
      </c>
      <c r="R8" s="15">
        <v>0</v>
      </c>
      <c r="S8" s="15">
        <f>ROUND(Q8-R8,0)</f>
        <v>183158</v>
      </c>
      <c r="T8" s="38" t="s">
        <v>24</v>
      </c>
      <c r="U8" s="15"/>
    </row>
    <row r="9" spans="1:21" ht="13.5" customHeight="1" x14ac:dyDescent="0.25">
      <c r="A9" s="5">
        <v>57527</v>
      </c>
      <c r="B9" s="35" t="s">
        <v>23</v>
      </c>
      <c r="C9" s="2">
        <v>45087</v>
      </c>
      <c r="D9" s="36">
        <v>7</v>
      </c>
      <c r="E9" s="15">
        <f>(143.5*3500)*20%</f>
        <v>100450</v>
      </c>
      <c r="F9" s="15">
        <v>0</v>
      </c>
      <c r="G9" s="15">
        <f>ROUND(E9-F9,0)</f>
        <v>100450</v>
      </c>
      <c r="H9" s="15">
        <f>ROUND(G9*H6,0)</f>
        <v>18081</v>
      </c>
      <c r="I9" s="15">
        <f>G9+H9</f>
        <v>118531</v>
      </c>
      <c r="J9" s="15">
        <f>G9*$J$6</f>
        <v>1004.5</v>
      </c>
      <c r="K9" s="15">
        <f>G9*$K$6</f>
        <v>5022.5</v>
      </c>
      <c r="L9" s="15">
        <f>H9</f>
        <v>18081</v>
      </c>
      <c r="M9" s="15"/>
      <c r="N9" s="15">
        <f>ROUND(I9-SUM(J9:M9),0)</f>
        <v>94423</v>
      </c>
      <c r="O9" s="37"/>
      <c r="P9" s="15" t="s">
        <v>32</v>
      </c>
      <c r="Q9" s="15">
        <v>94422</v>
      </c>
      <c r="R9" s="15">
        <v>0</v>
      </c>
      <c r="S9" s="15">
        <f>ROUND(Q9-R9,0)</f>
        <v>94422</v>
      </c>
      <c r="T9" s="38" t="s">
        <v>31</v>
      </c>
      <c r="U9" s="15"/>
    </row>
    <row r="10" spans="1:21" ht="13.5" customHeight="1" x14ac:dyDescent="0.25">
      <c r="A10" s="5">
        <v>57527</v>
      </c>
      <c r="B10" s="35" t="s">
        <v>41</v>
      </c>
      <c r="C10" s="2">
        <v>45129</v>
      </c>
      <c r="D10" s="39">
        <v>4</v>
      </c>
      <c r="E10" s="15">
        <f>L8</f>
        <v>50823</v>
      </c>
      <c r="F10" s="15"/>
      <c r="G10" s="15"/>
      <c r="H10" s="15"/>
      <c r="I10" s="15"/>
      <c r="J10" s="15"/>
      <c r="K10" s="15"/>
      <c r="L10" s="15"/>
      <c r="M10" s="15"/>
      <c r="N10" s="15">
        <v>50823</v>
      </c>
      <c r="O10" s="37"/>
      <c r="P10" s="15" t="s">
        <v>60</v>
      </c>
      <c r="Q10" s="15">
        <v>18081</v>
      </c>
      <c r="R10" s="15">
        <v>0</v>
      </c>
      <c r="S10" s="15">
        <v>18081</v>
      </c>
      <c r="T10" s="38" t="s">
        <v>57</v>
      </c>
      <c r="U10" s="15"/>
    </row>
    <row r="11" spans="1:21" ht="13.5" customHeight="1" x14ac:dyDescent="0.25">
      <c r="A11" s="5">
        <v>57527</v>
      </c>
      <c r="B11" s="35" t="s">
        <v>41</v>
      </c>
      <c r="C11" s="2">
        <v>45117</v>
      </c>
      <c r="D11" s="39">
        <v>7</v>
      </c>
      <c r="E11" s="15">
        <f>L9</f>
        <v>18081</v>
      </c>
      <c r="F11" s="15"/>
      <c r="G11" s="15"/>
      <c r="H11" s="15"/>
      <c r="I11" s="15"/>
      <c r="J11" s="15"/>
      <c r="K11" s="15"/>
      <c r="L11" s="15"/>
      <c r="M11" s="15"/>
      <c r="N11" s="15">
        <v>18081</v>
      </c>
      <c r="O11" s="37"/>
      <c r="P11" s="15" t="s">
        <v>59</v>
      </c>
      <c r="Q11" s="15">
        <v>50823</v>
      </c>
      <c r="R11" s="15"/>
      <c r="S11" s="15">
        <v>50823</v>
      </c>
      <c r="T11" s="38" t="s">
        <v>58</v>
      </c>
      <c r="U11" s="15"/>
    </row>
    <row r="12" spans="1:21" ht="13.5" customHeight="1" x14ac:dyDescent="0.25">
      <c r="A12" s="5">
        <v>57527</v>
      </c>
      <c r="B12" s="35" t="s">
        <v>23</v>
      </c>
      <c r="C12" s="2">
        <v>45637</v>
      </c>
      <c r="D12" s="36">
        <v>2</v>
      </c>
      <c r="E12" s="15">
        <v>100450</v>
      </c>
      <c r="F12" s="15">
        <v>0</v>
      </c>
      <c r="G12" s="15">
        <f>ROUND(E12-F12,0)</f>
        <v>100450</v>
      </c>
      <c r="H12" s="15">
        <f>G12*18%</f>
        <v>18081</v>
      </c>
      <c r="I12" s="15">
        <f>G12+H12</f>
        <v>118531</v>
      </c>
      <c r="J12" s="15">
        <f>G12*$J$6</f>
        <v>1004.5</v>
      </c>
      <c r="K12" s="15">
        <f>G12*$K$6</f>
        <v>5022.5</v>
      </c>
      <c r="L12" s="15">
        <f>H12</f>
        <v>18081</v>
      </c>
      <c r="M12" s="15">
        <v>0</v>
      </c>
      <c r="N12" s="15">
        <f>ROUND(I12-SUM(J12:M12),0)</f>
        <v>94423</v>
      </c>
      <c r="O12" s="54" t="s">
        <v>92</v>
      </c>
      <c r="P12" s="15" t="s">
        <v>66</v>
      </c>
      <c r="Q12" s="15"/>
      <c r="R12" s="15"/>
      <c r="S12" s="15">
        <v>49500</v>
      </c>
      <c r="T12" s="38" t="s">
        <v>64</v>
      </c>
      <c r="U12" s="15"/>
    </row>
    <row r="13" spans="1:21" ht="13.5" customHeight="1" x14ac:dyDescent="0.25">
      <c r="A13" s="5">
        <v>57527</v>
      </c>
      <c r="B13" s="35"/>
      <c r="C13" s="2"/>
      <c r="D13" s="3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54"/>
      <c r="P13" s="15"/>
      <c r="Q13" s="15"/>
      <c r="R13" s="15"/>
      <c r="S13" s="15">
        <v>99000</v>
      </c>
      <c r="T13" s="38" t="s">
        <v>96</v>
      </c>
      <c r="U13" s="15"/>
    </row>
    <row r="14" spans="1:21" ht="13.5" customHeight="1" x14ac:dyDescent="0.25">
      <c r="A14" s="5">
        <v>57527</v>
      </c>
      <c r="B14" s="35"/>
      <c r="C14" s="2"/>
      <c r="D14" s="3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54"/>
      <c r="P14" s="15"/>
      <c r="Q14" s="15"/>
      <c r="R14" s="15"/>
      <c r="S14" s="15">
        <v>79200</v>
      </c>
      <c r="T14" s="38" t="s">
        <v>97</v>
      </c>
      <c r="U14" s="15"/>
    </row>
    <row r="15" spans="1:21" s="18" customFormat="1" ht="13.5" customHeight="1" x14ac:dyDescent="0.25">
      <c r="B15" s="40"/>
      <c r="C15" s="41"/>
      <c r="D15" s="4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4">
        <f>A16</f>
        <v>57522</v>
      </c>
      <c r="P15" s="19"/>
      <c r="Q15" s="19"/>
      <c r="R15" s="19"/>
      <c r="S15" s="19"/>
      <c r="T15" s="43"/>
      <c r="U15" s="19">
        <f>SUM(N8:N14)-SUM(S8:S14)</f>
        <v>-133275</v>
      </c>
    </row>
    <row r="16" spans="1:21" ht="30" customHeight="1" x14ac:dyDescent="0.25">
      <c r="A16" s="5">
        <v>57522</v>
      </c>
      <c r="B16" s="35" t="s">
        <v>26</v>
      </c>
      <c r="C16" s="2">
        <v>45068</v>
      </c>
      <c r="D16" s="39">
        <v>5</v>
      </c>
      <c r="E16" s="15">
        <v>256410</v>
      </c>
      <c r="F16" s="15">
        <v>76766</v>
      </c>
      <c r="G16" s="15">
        <v>179644</v>
      </c>
      <c r="H16" s="15">
        <v>32336</v>
      </c>
      <c r="I16" s="15">
        <v>211980</v>
      </c>
      <c r="J16" s="15">
        <v>1796.44</v>
      </c>
      <c r="K16" s="15">
        <v>8982.2000000000007</v>
      </c>
      <c r="L16" s="15">
        <v>32336</v>
      </c>
      <c r="M16" s="15">
        <v>7350</v>
      </c>
      <c r="N16" s="15">
        <v>161515</v>
      </c>
      <c r="O16" s="37"/>
      <c r="P16" s="15" t="s">
        <v>36</v>
      </c>
      <c r="Q16" s="15">
        <v>161516</v>
      </c>
      <c r="R16" s="15">
        <v>0</v>
      </c>
      <c r="S16" s="15">
        <f>ROUND(Q16-R16,0)</f>
        <v>161516</v>
      </c>
      <c r="T16" s="21" t="s">
        <v>35</v>
      </c>
      <c r="U16" s="15"/>
    </row>
    <row r="17" spans="1:21" ht="13.5" customHeight="1" x14ac:dyDescent="0.25">
      <c r="A17" s="5">
        <v>57522</v>
      </c>
      <c r="B17" s="35" t="s">
        <v>26</v>
      </c>
      <c r="C17" s="2">
        <v>45068</v>
      </c>
      <c r="D17" s="39">
        <v>9</v>
      </c>
      <c r="E17" s="15">
        <v>85470</v>
      </c>
      <c r="F17" s="15">
        <v>0</v>
      </c>
      <c r="G17" s="15">
        <f>E17-F17</f>
        <v>85470</v>
      </c>
      <c r="H17" s="15">
        <f>G17*H6</f>
        <v>15384.599999999999</v>
      </c>
      <c r="I17" s="15">
        <f>G17+H17</f>
        <v>100854.6</v>
      </c>
      <c r="J17" s="15">
        <f>G17*J6</f>
        <v>854.7</v>
      </c>
      <c r="K17" s="15">
        <f>G17*K6</f>
        <v>4273.5</v>
      </c>
      <c r="L17" s="15">
        <f>G17*L6</f>
        <v>15384.599999999999</v>
      </c>
      <c r="M17" s="15">
        <v>0</v>
      </c>
      <c r="N17" s="15">
        <f>G17-J17-K17</f>
        <v>80341.8</v>
      </c>
      <c r="O17" s="37"/>
      <c r="P17" s="15" t="s">
        <v>34</v>
      </c>
      <c r="Q17" s="15">
        <v>80341</v>
      </c>
      <c r="R17" s="15">
        <v>0</v>
      </c>
      <c r="S17" s="15">
        <f>ROUND(Q17-R17,0)</f>
        <v>80341</v>
      </c>
      <c r="T17" s="38" t="s">
        <v>33</v>
      </c>
      <c r="U17" s="15"/>
    </row>
    <row r="18" spans="1:21" ht="13.5" customHeight="1" x14ac:dyDescent="0.25">
      <c r="A18" s="5">
        <v>57522</v>
      </c>
      <c r="B18" s="35" t="s">
        <v>41</v>
      </c>
      <c r="C18" s="2">
        <v>45068</v>
      </c>
      <c r="D18" s="39">
        <v>5</v>
      </c>
      <c r="E18" s="15">
        <f>L16</f>
        <v>32336</v>
      </c>
      <c r="F18" s="15"/>
      <c r="G18" s="15"/>
      <c r="H18" s="15"/>
      <c r="I18" s="15"/>
      <c r="J18" s="15"/>
      <c r="K18" s="15"/>
      <c r="L18" s="15"/>
      <c r="M18" s="15"/>
      <c r="N18" s="15">
        <v>32336</v>
      </c>
      <c r="O18" s="37"/>
      <c r="P18" s="15" t="s">
        <v>56</v>
      </c>
      <c r="Q18" s="15">
        <v>47721</v>
      </c>
      <c r="R18" s="15"/>
      <c r="S18" s="15">
        <v>47721</v>
      </c>
      <c r="T18" s="38" t="s">
        <v>54</v>
      </c>
      <c r="U18" s="15"/>
    </row>
    <row r="19" spans="1:21" ht="13.5" customHeight="1" x14ac:dyDescent="0.25">
      <c r="A19" s="5">
        <v>57522</v>
      </c>
      <c r="B19" s="35" t="s">
        <v>41</v>
      </c>
      <c r="C19" s="2">
        <v>45121</v>
      </c>
      <c r="D19" s="39">
        <v>9</v>
      </c>
      <c r="E19" s="15">
        <f>L17</f>
        <v>15384.599999999999</v>
      </c>
      <c r="F19" s="15"/>
      <c r="G19" s="15"/>
      <c r="H19" s="15"/>
      <c r="I19" s="15"/>
      <c r="J19" s="15"/>
      <c r="K19" s="15"/>
      <c r="L19" s="15"/>
      <c r="M19" s="15"/>
      <c r="N19" s="15">
        <v>15385</v>
      </c>
      <c r="O19" s="37"/>
      <c r="P19" s="15"/>
      <c r="Q19" s="15"/>
      <c r="R19" s="15"/>
      <c r="S19" s="15">
        <v>99000</v>
      </c>
      <c r="T19" s="38" t="s">
        <v>94</v>
      </c>
      <c r="U19" s="15"/>
    </row>
    <row r="20" spans="1:21" ht="13.5" customHeight="1" x14ac:dyDescent="0.25">
      <c r="A20" s="5">
        <v>57522</v>
      </c>
      <c r="B20" s="35" t="s">
        <v>26</v>
      </c>
      <c r="C20" s="2">
        <v>45637</v>
      </c>
      <c r="D20" s="39">
        <v>3</v>
      </c>
      <c r="E20" s="15">
        <v>85740</v>
      </c>
      <c r="F20" s="15">
        <v>0</v>
      </c>
      <c r="G20" s="15">
        <f>E20-F20</f>
        <v>85740</v>
      </c>
      <c r="H20" s="15">
        <f>G20*18%</f>
        <v>15433.199999999999</v>
      </c>
      <c r="I20" s="15">
        <f>G20+H20</f>
        <v>101173.2</v>
      </c>
      <c r="J20" s="15">
        <f>G20*$J$6</f>
        <v>857.4</v>
      </c>
      <c r="K20" s="15">
        <f>G20*5%</f>
        <v>4287</v>
      </c>
      <c r="L20" s="15">
        <f>G20*18%</f>
        <v>15433.199999999999</v>
      </c>
      <c r="M20" s="15">
        <v>0</v>
      </c>
      <c r="N20" s="15">
        <f>ROUND(I20-SUM(J20:M20),0)</f>
        <v>80596</v>
      </c>
      <c r="O20" s="54" t="s">
        <v>92</v>
      </c>
      <c r="P20" s="15"/>
      <c r="Q20" s="15"/>
      <c r="R20" s="15"/>
      <c r="S20" s="15">
        <v>79200</v>
      </c>
      <c r="T20" s="38" t="s">
        <v>95</v>
      </c>
      <c r="U20" s="15"/>
    </row>
    <row r="21" spans="1:21" s="18" customFormat="1" ht="13.5" customHeight="1" x14ac:dyDescent="0.25">
      <c r="B21" s="40"/>
      <c r="C21" s="41"/>
      <c r="D21" s="4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4">
        <f>A22</f>
        <v>54958</v>
      </c>
      <c r="P21" s="19"/>
      <c r="Q21" s="19"/>
      <c r="R21" s="19"/>
      <c r="S21" s="19"/>
      <c r="T21" s="43"/>
      <c r="U21" s="19">
        <f>SUM(N16:N20)-SUM(S16:S20)</f>
        <v>-97604.200000000012</v>
      </c>
    </row>
    <row r="22" spans="1:21" ht="13.5" customHeight="1" x14ac:dyDescent="0.25">
      <c r="A22" s="5">
        <v>54958</v>
      </c>
      <c r="B22" s="35" t="s">
        <v>27</v>
      </c>
      <c r="C22" s="2">
        <v>45012</v>
      </c>
      <c r="D22" s="39">
        <v>6</v>
      </c>
      <c r="E22" s="15">
        <v>222000</v>
      </c>
      <c r="F22" s="15">
        <v>95765</v>
      </c>
      <c r="G22" s="15">
        <v>126235</v>
      </c>
      <c r="H22" s="15">
        <v>22722</v>
      </c>
      <c r="I22" s="15">
        <v>148957</v>
      </c>
      <c r="J22" s="15">
        <v>1262</v>
      </c>
      <c r="K22" s="15">
        <v>12624</v>
      </c>
      <c r="L22" s="15">
        <v>22722</v>
      </c>
      <c r="M22" s="15"/>
      <c r="N22" s="15">
        <v>112349</v>
      </c>
      <c r="O22" s="37"/>
      <c r="P22" s="15" t="s">
        <v>28</v>
      </c>
      <c r="Q22" s="15">
        <v>112349</v>
      </c>
      <c r="R22" s="15">
        <v>0</v>
      </c>
      <c r="S22" s="15">
        <f>ROUND(Q22-R22,0)</f>
        <v>112349</v>
      </c>
      <c r="T22" s="38" t="s">
        <v>29</v>
      </c>
      <c r="U22" s="15"/>
    </row>
    <row r="23" spans="1:21" ht="13.5" customHeight="1" x14ac:dyDescent="0.25">
      <c r="A23" s="5">
        <v>54958</v>
      </c>
      <c r="B23" s="35" t="s">
        <v>27</v>
      </c>
      <c r="C23" s="2">
        <v>45069</v>
      </c>
      <c r="D23" s="39">
        <v>6</v>
      </c>
      <c r="E23" s="15">
        <v>159000</v>
      </c>
      <c r="F23" s="15">
        <v>0</v>
      </c>
      <c r="G23" s="15">
        <v>159000</v>
      </c>
      <c r="H23" s="15">
        <v>28620</v>
      </c>
      <c r="I23" s="15">
        <v>187620</v>
      </c>
      <c r="J23" s="15">
        <v>1590</v>
      </c>
      <c r="K23" s="15">
        <v>15900</v>
      </c>
      <c r="L23" s="15">
        <v>28620</v>
      </c>
      <c r="M23" s="15"/>
      <c r="N23" s="15">
        <v>141510</v>
      </c>
      <c r="O23" s="37"/>
      <c r="P23" s="15" t="s">
        <v>39</v>
      </c>
      <c r="Q23" s="15">
        <v>141510</v>
      </c>
      <c r="R23" s="15">
        <v>0</v>
      </c>
      <c r="S23" s="15">
        <f>ROUND(Q23-R23,0)</f>
        <v>141510</v>
      </c>
      <c r="T23" s="38" t="s">
        <v>37</v>
      </c>
      <c r="U23" s="15"/>
    </row>
    <row r="24" spans="1:21" ht="13.5" customHeight="1" x14ac:dyDescent="0.25">
      <c r="A24" s="5">
        <v>54958</v>
      </c>
      <c r="B24" s="35" t="s">
        <v>41</v>
      </c>
      <c r="C24" s="2">
        <v>45089</v>
      </c>
      <c r="D24" s="39">
        <v>6</v>
      </c>
      <c r="E24" s="15">
        <f>L22</f>
        <v>22722</v>
      </c>
      <c r="F24" s="15"/>
      <c r="G24" s="15"/>
      <c r="H24" s="15"/>
      <c r="I24" s="15"/>
      <c r="J24" s="15"/>
      <c r="K24" s="15"/>
      <c r="L24" s="15"/>
      <c r="M24" s="15"/>
      <c r="N24" s="15">
        <f>E24</f>
        <v>22722</v>
      </c>
      <c r="O24" s="37"/>
      <c r="P24" s="15" t="s">
        <v>40</v>
      </c>
      <c r="Q24" s="15">
        <v>22722</v>
      </c>
      <c r="R24" s="15">
        <v>0</v>
      </c>
      <c r="S24" s="15">
        <f>ROUND(Q24-R24,0)</f>
        <v>22722</v>
      </c>
      <c r="T24" s="38" t="s">
        <v>38</v>
      </c>
      <c r="U24" s="15"/>
    </row>
    <row r="25" spans="1:21" ht="13.5" customHeight="1" x14ac:dyDescent="0.25">
      <c r="A25" s="5">
        <v>54958</v>
      </c>
      <c r="B25" s="35" t="s">
        <v>41</v>
      </c>
      <c r="C25" s="2">
        <v>45119</v>
      </c>
      <c r="D25" s="39">
        <v>6</v>
      </c>
      <c r="E25" s="15">
        <f>L23</f>
        <v>28620</v>
      </c>
      <c r="F25" s="15"/>
      <c r="G25" s="15"/>
      <c r="H25" s="15"/>
      <c r="I25" s="15"/>
      <c r="J25" s="15"/>
      <c r="K25" s="15"/>
      <c r="L25" s="15"/>
      <c r="M25" s="15"/>
      <c r="N25" s="15">
        <v>28620</v>
      </c>
      <c r="O25" s="37"/>
      <c r="P25" s="15" t="s">
        <v>55</v>
      </c>
      <c r="Q25" s="15">
        <v>28620</v>
      </c>
      <c r="R25" s="15"/>
      <c r="S25" s="15">
        <v>28620</v>
      </c>
      <c r="T25" s="38" t="s">
        <v>53</v>
      </c>
      <c r="U25" s="15"/>
    </row>
    <row r="26" spans="1:21" ht="13.5" customHeight="1" x14ac:dyDescent="0.25">
      <c r="A26" s="5">
        <v>54958</v>
      </c>
      <c r="B26" s="35"/>
      <c r="C26" s="2"/>
      <c r="D26" s="3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37"/>
      <c r="P26" s="15"/>
      <c r="Q26" s="15"/>
      <c r="R26" s="15"/>
      <c r="S26" s="15">
        <v>99000</v>
      </c>
      <c r="T26" s="38" t="s">
        <v>100</v>
      </c>
      <c r="U26" s="15"/>
    </row>
    <row r="27" spans="1:21" s="18" customFormat="1" ht="13.5" customHeight="1" x14ac:dyDescent="0.25">
      <c r="B27" s="40"/>
      <c r="C27" s="41"/>
      <c r="D27" s="42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4">
        <f>A28</f>
        <v>58766</v>
      </c>
      <c r="P27" s="19"/>
      <c r="Q27" s="19"/>
      <c r="R27" s="19"/>
      <c r="S27" s="19"/>
      <c r="T27" s="43"/>
      <c r="U27" s="19">
        <f>SUM(N22:N26)-SUM(S22:S26)</f>
        <v>-99000</v>
      </c>
    </row>
    <row r="28" spans="1:21" ht="32.25" customHeight="1" x14ac:dyDescent="0.25">
      <c r="A28" s="5">
        <v>58766</v>
      </c>
      <c r="B28" s="35" t="s">
        <v>30</v>
      </c>
      <c r="C28" s="2">
        <v>45147</v>
      </c>
      <c r="D28" s="36">
        <v>11</v>
      </c>
      <c r="E28" s="15">
        <v>296240</v>
      </c>
      <c r="F28" s="15">
        <v>72200</v>
      </c>
      <c r="G28" s="15">
        <f>ROUND(E28-F28,0)</f>
        <v>224040</v>
      </c>
      <c r="H28" s="15">
        <f>G28*18%</f>
        <v>40327.199999999997</v>
      </c>
      <c r="I28" s="15">
        <f>G28+H28</f>
        <v>264367.2</v>
      </c>
      <c r="J28" s="15">
        <f>G28*$J$6</f>
        <v>2240.4</v>
      </c>
      <c r="K28" s="15">
        <f>G28*10%</f>
        <v>22404</v>
      </c>
      <c r="L28" s="15">
        <f>H28</f>
        <v>40327.199999999997</v>
      </c>
      <c r="M28" s="15">
        <v>0</v>
      </c>
      <c r="N28" s="15">
        <f>ROUND(I28-SUM(J28:M28),0)</f>
        <v>199396</v>
      </c>
      <c r="O28" s="37"/>
      <c r="P28" s="15" t="s">
        <v>43</v>
      </c>
      <c r="Q28" s="15">
        <v>199396</v>
      </c>
      <c r="R28" s="15">
        <v>0</v>
      </c>
      <c r="S28" s="15">
        <f>ROUND(Q28-R28,0)</f>
        <v>199396</v>
      </c>
      <c r="T28" s="38" t="s">
        <v>42</v>
      </c>
      <c r="U28" s="15"/>
    </row>
    <row r="29" spans="1:21" ht="13.5" customHeight="1" x14ac:dyDescent="0.25">
      <c r="A29" s="5">
        <v>58766</v>
      </c>
      <c r="B29" s="35" t="s">
        <v>41</v>
      </c>
      <c r="C29" s="2">
        <v>45272</v>
      </c>
      <c r="D29" s="39">
        <v>11</v>
      </c>
      <c r="E29" s="15">
        <f>L28</f>
        <v>40327.199999999997</v>
      </c>
      <c r="F29" s="15"/>
      <c r="G29" s="15"/>
      <c r="H29" s="15"/>
      <c r="I29" s="15"/>
      <c r="J29" s="15"/>
      <c r="K29" s="15"/>
      <c r="L29" s="15"/>
      <c r="M29" s="15"/>
      <c r="N29" s="15">
        <v>40327</v>
      </c>
      <c r="O29" s="37"/>
      <c r="P29" s="15" t="s">
        <v>52</v>
      </c>
      <c r="Q29" s="15">
        <v>40327</v>
      </c>
      <c r="R29" s="15"/>
      <c r="S29" s="15">
        <v>40327</v>
      </c>
      <c r="T29" s="38" t="s">
        <v>51</v>
      </c>
      <c r="U29" s="15"/>
    </row>
    <row r="30" spans="1:21" ht="13.5" customHeight="1" x14ac:dyDescent="0.25">
      <c r="A30" s="5">
        <v>58766</v>
      </c>
      <c r="B30" s="35" t="s">
        <v>30</v>
      </c>
      <c r="C30" s="47">
        <v>45637</v>
      </c>
      <c r="D30" s="48">
        <v>4</v>
      </c>
      <c r="E30" s="49">
        <v>74060</v>
      </c>
      <c r="F30" s="15">
        <v>0</v>
      </c>
      <c r="G30" s="15">
        <f>ROUND(E30-F30,0)</f>
        <v>74060</v>
      </c>
      <c r="H30" s="15">
        <f>G30*18%</f>
        <v>13330.8</v>
      </c>
      <c r="I30" s="15">
        <f>G30+H30</f>
        <v>87390.8</v>
      </c>
      <c r="J30" s="15">
        <f>G30*$J$6</f>
        <v>740.6</v>
      </c>
      <c r="K30" s="15">
        <f>G30*5%</f>
        <v>3703</v>
      </c>
      <c r="L30" s="15">
        <f>G30*18%</f>
        <v>13330.8</v>
      </c>
      <c r="M30" s="49"/>
      <c r="N30" s="15">
        <f>ROUND(I30-SUM(J30:M30),0)</f>
        <v>69616</v>
      </c>
      <c r="O30" s="54" t="s">
        <v>92</v>
      </c>
      <c r="P30" s="15"/>
      <c r="Q30" s="15"/>
      <c r="R30" s="15"/>
      <c r="S30" s="15">
        <v>69300</v>
      </c>
      <c r="T30" s="38" t="s">
        <v>99</v>
      </c>
      <c r="U30" s="15"/>
    </row>
    <row r="31" spans="1:21" s="18" customFormat="1" ht="18" customHeight="1" x14ac:dyDescent="0.25">
      <c r="B31" s="40"/>
      <c r="C31" s="41"/>
      <c r="D31" s="42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4">
        <v>59442</v>
      </c>
      <c r="P31" s="19"/>
      <c r="Q31" s="19"/>
      <c r="R31" s="19"/>
      <c r="S31" s="19"/>
      <c r="T31" s="43"/>
      <c r="U31" s="19">
        <f>SUM(N28:N30)-SUM(S28:S30)</f>
        <v>316</v>
      </c>
    </row>
    <row r="32" spans="1:21" ht="32.25" customHeight="1" x14ac:dyDescent="0.25">
      <c r="A32" s="5">
        <v>59442</v>
      </c>
      <c r="B32" s="35" t="s">
        <v>44</v>
      </c>
      <c r="C32" s="2">
        <v>45189</v>
      </c>
      <c r="D32" s="36">
        <v>14</v>
      </c>
      <c r="E32" s="15">
        <v>222000</v>
      </c>
      <c r="F32" s="15">
        <v>0</v>
      </c>
      <c r="G32" s="15">
        <f>ROUND(E32-F32,0)</f>
        <v>222000</v>
      </c>
      <c r="H32" s="15">
        <f>G32*18%</f>
        <v>39960</v>
      </c>
      <c r="I32" s="15">
        <f>G32+H32</f>
        <v>261960</v>
      </c>
      <c r="J32" s="15">
        <f>G32*$J$6</f>
        <v>2220</v>
      </c>
      <c r="K32" s="15">
        <f>G32*10%</f>
        <v>22200</v>
      </c>
      <c r="L32" s="15">
        <f>E32*18%</f>
        <v>39960</v>
      </c>
      <c r="M32" s="15">
        <v>0</v>
      </c>
      <c r="N32" s="15">
        <f>ROUND(I32-SUM(J32:M32),0)</f>
        <v>197580</v>
      </c>
      <c r="O32" s="37"/>
      <c r="P32" s="15" t="s">
        <v>46</v>
      </c>
      <c r="Q32" s="15">
        <v>197580</v>
      </c>
      <c r="R32" s="15">
        <v>0</v>
      </c>
      <c r="S32" s="15">
        <f>ROUND(Q32-R32,0)</f>
        <v>197580</v>
      </c>
      <c r="T32" s="38" t="s">
        <v>45</v>
      </c>
      <c r="U32" s="15"/>
    </row>
    <row r="33" spans="1:21" ht="13.5" customHeight="1" x14ac:dyDescent="0.25">
      <c r="A33" s="5">
        <v>59442</v>
      </c>
      <c r="B33" s="35" t="s">
        <v>44</v>
      </c>
      <c r="C33" s="2">
        <v>45226</v>
      </c>
      <c r="D33" s="36">
        <v>17</v>
      </c>
      <c r="E33" s="15">
        <v>122000</v>
      </c>
      <c r="F33" s="15">
        <v>0</v>
      </c>
      <c r="G33" s="15">
        <f>ROUND(E33-F33,0)</f>
        <v>122000</v>
      </c>
      <c r="H33" s="15">
        <f>G33*18%</f>
        <v>21960</v>
      </c>
      <c r="I33" s="15">
        <f>G33+H33</f>
        <v>143960</v>
      </c>
      <c r="J33" s="15">
        <f>G33*$J$6</f>
        <v>1220</v>
      </c>
      <c r="K33" s="15">
        <f>G33*10%</f>
        <v>12200</v>
      </c>
      <c r="L33" s="15">
        <f>E33*18%</f>
        <v>21960</v>
      </c>
      <c r="M33" s="15">
        <v>0</v>
      </c>
      <c r="N33" s="15">
        <f>ROUND(I33-SUM(J33:M33),0)</f>
        <v>108580</v>
      </c>
      <c r="O33" s="37"/>
      <c r="P33" s="15" t="s">
        <v>49</v>
      </c>
      <c r="Q33" s="15">
        <v>108580</v>
      </c>
      <c r="R33" s="15"/>
      <c r="S33" s="15">
        <v>108580</v>
      </c>
      <c r="T33" s="38" t="s">
        <v>47</v>
      </c>
      <c r="U33" s="15"/>
    </row>
    <row r="34" spans="1:21" ht="13.5" customHeight="1" x14ac:dyDescent="0.25">
      <c r="A34" s="5">
        <v>59442</v>
      </c>
      <c r="B34" s="35" t="s">
        <v>41</v>
      </c>
      <c r="C34" s="2">
        <v>45272</v>
      </c>
      <c r="D34" s="39">
        <v>17</v>
      </c>
      <c r="E34" s="15">
        <f>L32+L33</f>
        <v>61920</v>
      </c>
      <c r="F34" s="15"/>
      <c r="G34" s="15"/>
      <c r="H34" s="15"/>
      <c r="I34" s="15"/>
      <c r="J34" s="15"/>
      <c r="K34" s="15"/>
      <c r="L34" s="15"/>
      <c r="M34" s="15"/>
      <c r="N34" s="15">
        <v>61920</v>
      </c>
      <c r="O34" s="37"/>
      <c r="P34" s="15" t="s">
        <v>50</v>
      </c>
      <c r="Q34" s="15">
        <v>61920</v>
      </c>
      <c r="R34" s="15"/>
      <c r="S34" s="15">
        <v>61920</v>
      </c>
      <c r="T34" s="38" t="s">
        <v>48</v>
      </c>
      <c r="U34" s="15"/>
    </row>
    <row r="35" spans="1:21" ht="13.5" customHeight="1" x14ac:dyDescent="0.25">
      <c r="A35" s="5">
        <v>59442</v>
      </c>
      <c r="B35" s="35" t="s">
        <v>44</v>
      </c>
      <c r="C35" s="2">
        <v>45616</v>
      </c>
      <c r="D35" s="36">
        <v>1</v>
      </c>
      <c r="E35" s="15">
        <v>37000</v>
      </c>
      <c r="F35" s="15">
        <v>0</v>
      </c>
      <c r="G35" s="15">
        <f>ROUND(E35-F35,0)</f>
        <v>37000</v>
      </c>
      <c r="H35" s="15">
        <f>G35*18%</f>
        <v>6660</v>
      </c>
      <c r="I35" s="15">
        <f>G35+H35</f>
        <v>43660</v>
      </c>
      <c r="J35" s="15">
        <f>G35*$J$6</f>
        <v>370</v>
      </c>
      <c r="K35" s="15">
        <f>G35*10%</f>
        <v>3700</v>
      </c>
      <c r="L35" s="15">
        <f>E35*18%</f>
        <v>6660</v>
      </c>
      <c r="M35" s="15">
        <v>0</v>
      </c>
      <c r="N35" s="15">
        <f>ROUND(I35-SUM(J35:M35),0)</f>
        <v>32930</v>
      </c>
      <c r="O35" s="54" t="s">
        <v>92</v>
      </c>
      <c r="P35" s="15"/>
      <c r="Q35" s="15"/>
      <c r="R35" s="15"/>
      <c r="S35" s="15">
        <v>29700</v>
      </c>
      <c r="T35" s="38" t="s">
        <v>98</v>
      </c>
      <c r="U35" s="15"/>
    </row>
    <row r="36" spans="1:21" s="18" customFormat="1" ht="18" customHeight="1" x14ac:dyDescent="0.25">
      <c r="B36" s="40"/>
      <c r="C36" s="41"/>
      <c r="D36" s="4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34">
        <f>A37</f>
        <v>53162</v>
      </c>
      <c r="P36" s="19"/>
      <c r="Q36" s="19"/>
      <c r="R36" s="19"/>
      <c r="S36" s="19"/>
      <c r="T36" s="43"/>
      <c r="U36" s="19">
        <f>SUM(N32:N35)-SUM(S32:S35)</f>
        <v>3230</v>
      </c>
    </row>
    <row r="37" spans="1:21" ht="13.5" customHeight="1" x14ac:dyDescent="0.25">
      <c r="A37" s="5">
        <v>53162</v>
      </c>
      <c r="B37" s="46" t="s">
        <v>124</v>
      </c>
      <c r="C37" s="47">
        <v>44959</v>
      </c>
      <c r="D37" s="48">
        <v>1</v>
      </c>
      <c r="E37" s="49">
        <v>222000</v>
      </c>
      <c r="F37" s="49">
        <v>56928</v>
      </c>
      <c r="G37" s="15">
        <f>ROUND(E37-F37,0)</f>
        <v>165072</v>
      </c>
      <c r="H37" s="15">
        <f>G37*18%</f>
        <v>29712.959999999999</v>
      </c>
      <c r="I37" s="15">
        <f>G37+H37</f>
        <v>194784.96</v>
      </c>
      <c r="J37" s="15">
        <f>G37*$J$6</f>
        <v>1650.72</v>
      </c>
      <c r="K37" s="15">
        <f>G37*10%</f>
        <v>16507.2</v>
      </c>
      <c r="L37" s="15">
        <f>G37*18%</f>
        <v>29712.959999999999</v>
      </c>
      <c r="M37" s="15">
        <v>0</v>
      </c>
      <c r="N37" s="15">
        <f>ROUND(I37-SUM(J37:M37),0)</f>
        <v>146914</v>
      </c>
      <c r="O37" s="50"/>
      <c r="P37" s="49"/>
      <c r="Q37" s="49"/>
      <c r="R37" s="49"/>
      <c r="S37" s="49">
        <v>146914</v>
      </c>
      <c r="T37" s="51" t="s">
        <v>68</v>
      </c>
      <c r="U37" s="49"/>
    </row>
    <row r="38" spans="1:21" ht="13.5" customHeight="1" x14ac:dyDescent="0.25">
      <c r="A38" s="5">
        <v>53162</v>
      </c>
      <c r="B38" s="57" t="s">
        <v>124</v>
      </c>
      <c r="C38" s="47">
        <v>45020</v>
      </c>
      <c r="D38" s="48">
        <v>10</v>
      </c>
      <c r="E38" s="49">
        <v>148000</v>
      </c>
      <c r="F38" s="49"/>
      <c r="G38" s="15">
        <f>ROUND(E38-F38,0)</f>
        <v>148000</v>
      </c>
      <c r="H38" s="15">
        <f>G38*18%</f>
        <v>26640</v>
      </c>
      <c r="I38" s="15">
        <f>G38+H38</f>
        <v>174640</v>
      </c>
      <c r="J38" s="15">
        <f>G38*$J$6</f>
        <v>1480</v>
      </c>
      <c r="K38" s="15">
        <f>G38*10%</f>
        <v>14800</v>
      </c>
      <c r="L38" s="15">
        <f>G38*18%</f>
        <v>26640</v>
      </c>
      <c r="M38" s="15">
        <v>0</v>
      </c>
      <c r="N38" s="15">
        <f>ROUND(I38-SUM(J38:M38),0)</f>
        <v>131720</v>
      </c>
      <c r="O38" s="50"/>
      <c r="P38" s="49"/>
      <c r="Q38" s="49"/>
      <c r="R38" s="49"/>
      <c r="S38" s="49">
        <v>29713</v>
      </c>
      <c r="T38" s="51" t="s">
        <v>69</v>
      </c>
      <c r="U38" s="49"/>
    </row>
    <row r="39" spans="1:21" ht="13.5" customHeight="1" x14ac:dyDescent="0.25">
      <c r="A39" s="5">
        <v>53162</v>
      </c>
      <c r="B39" s="35" t="s">
        <v>41</v>
      </c>
      <c r="C39" s="47"/>
      <c r="D39" s="48">
        <v>10</v>
      </c>
      <c r="E39" s="49">
        <f>SUM(L37:L38)</f>
        <v>56352.959999999999</v>
      </c>
      <c r="F39" s="49"/>
      <c r="G39" s="49"/>
      <c r="H39" s="49"/>
      <c r="I39" s="49"/>
      <c r="J39" s="49"/>
      <c r="K39" s="49"/>
      <c r="L39" s="49"/>
      <c r="M39" s="49"/>
      <c r="N39" s="49">
        <f>E39</f>
        <v>56352.959999999999</v>
      </c>
      <c r="O39" s="50"/>
      <c r="P39" s="49"/>
      <c r="Q39" s="49"/>
      <c r="R39" s="49"/>
      <c r="S39" s="49">
        <v>131720</v>
      </c>
      <c r="T39" s="51" t="s">
        <v>70</v>
      </c>
      <c r="U39" s="49"/>
    </row>
    <row r="40" spans="1:21" ht="13.5" customHeight="1" x14ac:dyDescent="0.25">
      <c r="A40" s="5">
        <v>53162</v>
      </c>
      <c r="B40" s="35"/>
      <c r="C40" s="47"/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49">
        <v>26640</v>
      </c>
      <c r="T40" s="51" t="s">
        <v>71</v>
      </c>
      <c r="U40" s="49"/>
    </row>
    <row r="41" spans="1:21" s="18" customFormat="1" ht="18" customHeight="1" x14ac:dyDescent="0.25">
      <c r="B41" s="40"/>
      <c r="C41" s="41"/>
      <c r="D41" s="4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34">
        <f>A42</f>
        <v>54956</v>
      </c>
      <c r="P41" s="19"/>
      <c r="Q41" s="19"/>
      <c r="R41" s="19"/>
      <c r="S41" s="19"/>
      <c r="T41" s="43"/>
      <c r="U41" s="19">
        <f>SUM(N37:N40)-SUM(S37:S40)</f>
        <v>-3.9999999979045242E-2</v>
      </c>
    </row>
    <row r="42" spans="1:21" ht="13.5" customHeight="1" x14ac:dyDescent="0.25">
      <c r="A42" s="5">
        <v>54956</v>
      </c>
      <c r="B42" s="57" t="s">
        <v>125</v>
      </c>
      <c r="C42" s="47">
        <v>44972</v>
      </c>
      <c r="D42" s="48">
        <v>2</v>
      </c>
      <c r="E42" s="49">
        <v>222000</v>
      </c>
      <c r="F42" s="49">
        <v>0</v>
      </c>
      <c r="G42" s="15">
        <f>ROUND(E42-F42,0)</f>
        <v>222000</v>
      </c>
      <c r="H42" s="15">
        <f>G42*18%</f>
        <v>39960</v>
      </c>
      <c r="I42" s="15">
        <f>G42+H42</f>
        <v>261960</v>
      </c>
      <c r="J42" s="15">
        <f>G42*$J$6</f>
        <v>2220</v>
      </c>
      <c r="K42" s="15">
        <f>G42*10%</f>
        <v>22200</v>
      </c>
      <c r="L42" s="15">
        <f>G42*18%</f>
        <v>39960</v>
      </c>
      <c r="M42" s="15">
        <v>0</v>
      </c>
      <c r="N42" s="49">
        <v>197580</v>
      </c>
      <c r="O42" s="50"/>
      <c r="P42" s="49"/>
      <c r="Q42" s="49"/>
      <c r="R42" s="49"/>
      <c r="S42" s="49">
        <v>197580</v>
      </c>
      <c r="T42" s="51" t="s">
        <v>72</v>
      </c>
      <c r="U42" s="49"/>
    </row>
    <row r="43" spans="1:21" ht="13.5" customHeight="1" x14ac:dyDescent="0.25">
      <c r="A43" s="5">
        <v>54956</v>
      </c>
      <c r="B43" s="57" t="s">
        <v>125</v>
      </c>
      <c r="C43" s="53">
        <v>45045</v>
      </c>
      <c r="D43" s="49">
        <v>3</v>
      </c>
      <c r="E43" s="49">
        <v>159000</v>
      </c>
      <c r="F43" s="15">
        <v>72966</v>
      </c>
      <c r="G43" s="15">
        <f>ROUND(E43-F43,0)</f>
        <v>86034</v>
      </c>
      <c r="H43" s="15">
        <f>G43*18%</f>
        <v>15486.119999999999</v>
      </c>
      <c r="I43" s="15">
        <f>G43+H43</f>
        <v>101520.12</v>
      </c>
      <c r="J43" s="15">
        <f>G43*$J$6</f>
        <v>860.34</v>
      </c>
      <c r="K43" s="15">
        <f>G43*10%</f>
        <v>8603.4</v>
      </c>
      <c r="L43" s="15">
        <f>G43*18%</f>
        <v>15486.119999999999</v>
      </c>
      <c r="M43" s="49"/>
      <c r="N43" s="49">
        <v>76571</v>
      </c>
      <c r="O43" s="50"/>
      <c r="P43" s="49"/>
      <c r="Q43" s="49"/>
      <c r="R43" s="49"/>
      <c r="S43" s="49">
        <v>39960</v>
      </c>
      <c r="T43" s="51" t="s">
        <v>73</v>
      </c>
      <c r="U43" s="49"/>
    </row>
    <row r="44" spans="1:21" ht="13.5" customHeight="1" x14ac:dyDescent="0.25">
      <c r="A44" s="5">
        <v>54956</v>
      </c>
      <c r="B44" s="46"/>
      <c r="C44" s="47"/>
      <c r="D44" s="48"/>
      <c r="E44" s="49"/>
      <c r="F44" s="49"/>
      <c r="G44" s="49"/>
      <c r="H44" s="49"/>
      <c r="I44" s="49"/>
      <c r="J44" s="49"/>
      <c r="K44" s="49"/>
      <c r="L44" s="49"/>
      <c r="M44" s="49"/>
      <c r="N44" s="49">
        <v>15486</v>
      </c>
      <c r="O44" s="50"/>
      <c r="P44" s="49"/>
      <c r="Q44" s="49"/>
      <c r="R44" s="49"/>
      <c r="S44" s="49">
        <v>76571</v>
      </c>
      <c r="T44" s="51" t="s">
        <v>74</v>
      </c>
      <c r="U44" s="49"/>
    </row>
    <row r="45" spans="1:21" ht="13.5" customHeight="1" x14ac:dyDescent="0.25">
      <c r="A45" s="5">
        <v>54956</v>
      </c>
      <c r="B45" s="46"/>
      <c r="C45" s="47"/>
      <c r="D45" s="48"/>
      <c r="E45" s="49"/>
      <c r="F45" s="49"/>
      <c r="G45" s="49"/>
      <c r="H45" s="49"/>
      <c r="I45" s="49"/>
      <c r="J45" s="49"/>
      <c r="K45" s="49"/>
      <c r="L45" s="49"/>
      <c r="M45" s="49"/>
      <c r="N45" s="49">
        <v>39960</v>
      </c>
      <c r="O45" s="50"/>
      <c r="P45" s="49"/>
      <c r="Q45" s="49"/>
      <c r="R45" s="49"/>
      <c r="S45" s="49">
        <v>15486</v>
      </c>
      <c r="T45" s="51" t="s">
        <v>75</v>
      </c>
      <c r="U45" s="49"/>
    </row>
    <row r="46" spans="1:21" ht="13.5" customHeight="1" x14ac:dyDescent="0.25">
      <c r="A46" s="5">
        <v>54956</v>
      </c>
      <c r="B46" s="46"/>
      <c r="C46" s="47"/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49">
        <v>74250</v>
      </c>
      <c r="T46" s="51" t="s">
        <v>101</v>
      </c>
      <c r="U46" s="49"/>
    </row>
    <row r="47" spans="1:21" ht="13.5" customHeight="1" x14ac:dyDescent="0.25">
      <c r="A47" s="5">
        <v>54956</v>
      </c>
      <c r="B47" s="46"/>
      <c r="C47" s="47"/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49"/>
      <c r="T47" s="51"/>
      <c r="U47" s="49"/>
    </row>
    <row r="48" spans="1:21" ht="13.5" customHeight="1" x14ac:dyDescent="0.25">
      <c r="A48" s="5">
        <v>54956</v>
      </c>
      <c r="B48" s="46"/>
      <c r="C48" s="47"/>
      <c r="D48" s="48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49"/>
      <c r="T48" s="51"/>
      <c r="U48" s="49"/>
    </row>
    <row r="49" spans="1:21" s="18" customFormat="1" ht="18" customHeight="1" x14ac:dyDescent="0.25">
      <c r="B49" s="40"/>
      <c r="C49" s="41"/>
      <c r="D49" s="4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34">
        <f>A50</f>
        <v>54955</v>
      </c>
      <c r="P49" s="19"/>
      <c r="Q49" s="19"/>
      <c r="R49" s="19"/>
      <c r="S49" s="19"/>
      <c r="T49" s="43"/>
      <c r="U49" s="19">
        <f>SUM(N42:N48)-SUM(S42:S48)</f>
        <v>-74250</v>
      </c>
    </row>
    <row r="50" spans="1:21" ht="13.5" customHeight="1" x14ac:dyDescent="0.25">
      <c r="A50" s="5">
        <v>54955</v>
      </c>
      <c r="B50" s="60" t="s">
        <v>127</v>
      </c>
      <c r="C50" s="47">
        <v>44972</v>
      </c>
      <c r="D50" s="49">
        <v>3</v>
      </c>
      <c r="E50" s="49">
        <v>222000</v>
      </c>
      <c r="F50" s="49">
        <v>0</v>
      </c>
      <c r="G50" s="15">
        <f>ROUND(E50-F50,0)</f>
        <v>222000</v>
      </c>
      <c r="H50" s="15">
        <f>G50*18%</f>
        <v>39960</v>
      </c>
      <c r="I50" s="15">
        <f>G50+H50</f>
        <v>261960</v>
      </c>
      <c r="J50" s="15">
        <f>G50*$J$6</f>
        <v>2220</v>
      </c>
      <c r="K50" s="15">
        <f>G50*10%</f>
        <v>22200</v>
      </c>
      <c r="L50" s="15">
        <f>G50*18%</f>
        <v>39960</v>
      </c>
      <c r="M50" s="15">
        <v>0</v>
      </c>
      <c r="N50" s="49">
        <v>197580</v>
      </c>
      <c r="O50" s="50"/>
      <c r="P50" s="49"/>
      <c r="Q50" s="49"/>
      <c r="R50" s="49"/>
      <c r="S50" s="49">
        <v>197580</v>
      </c>
      <c r="T50" s="51" t="s">
        <v>76</v>
      </c>
      <c r="U50" s="49"/>
    </row>
    <row r="51" spans="1:21" ht="13.5" customHeight="1" x14ac:dyDescent="0.25">
      <c r="A51" s="5">
        <v>54955</v>
      </c>
      <c r="B51" s="61"/>
      <c r="C51" s="47">
        <v>45012</v>
      </c>
      <c r="D51" s="49">
        <v>8</v>
      </c>
      <c r="E51" s="49">
        <v>159000</v>
      </c>
      <c r="F51" s="15">
        <v>72966</v>
      </c>
      <c r="G51" s="15">
        <f>ROUND(E51-F51,0)</f>
        <v>86034</v>
      </c>
      <c r="H51" s="15">
        <f>G51*18%</f>
        <v>15486.119999999999</v>
      </c>
      <c r="I51" s="15">
        <f>G51+H51</f>
        <v>101520.12</v>
      </c>
      <c r="J51" s="15">
        <f>G51*$J$6</f>
        <v>860.34</v>
      </c>
      <c r="K51" s="15">
        <f>G51*10%</f>
        <v>8603.4</v>
      </c>
      <c r="L51" s="15">
        <f>G51*18%</f>
        <v>15486.119999999999</v>
      </c>
      <c r="M51" s="49"/>
      <c r="N51" s="49">
        <v>76571</v>
      </c>
      <c r="O51" s="50"/>
      <c r="P51" s="49"/>
      <c r="Q51" s="49"/>
      <c r="R51" s="49"/>
      <c r="S51" s="49">
        <v>76571</v>
      </c>
      <c r="T51" s="51" t="s">
        <v>77</v>
      </c>
      <c r="U51" s="49"/>
    </row>
    <row r="52" spans="1:21" ht="13.5" customHeight="1" x14ac:dyDescent="0.25">
      <c r="A52" s="5">
        <v>54955</v>
      </c>
      <c r="B52" s="46" t="s">
        <v>91</v>
      </c>
      <c r="C52" s="47"/>
      <c r="D52" s="48">
        <v>3</v>
      </c>
      <c r="E52" s="49">
        <f>L50</f>
        <v>39960</v>
      </c>
      <c r="F52" s="49"/>
      <c r="G52" s="49"/>
      <c r="H52" s="49"/>
      <c r="I52" s="49"/>
      <c r="J52" s="49"/>
      <c r="K52" s="49"/>
      <c r="L52" s="49"/>
      <c r="M52" s="49"/>
      <c r="N52" s="49">
        <f>E52</f>
        <v>39960</v>
      </c>
      <c r="O52" s="50"/>
      <c r="P52" s="49"/>
      <c r="Q52" s="49"/>
      <c r="R52" s="49"/>
      <c r="S52" s="49">
        <v>39960</v>
      </c>
      <c r="T52" s="51" t="s">
        <v>78</v>
      </c>
      <c r="U52" s="49"/>
    </row>
    <row r="53" spans="1:21" ht="13.5" customHeight="1" x14ac:dyDescent="0.25">
      <c r="A53" s="5">
        <v>54955</v>
      </c>
      <c r="B53" s="46" t="s">
        <v>91</v>
      </c>
      <c r="C53" s="47"/>
      <c r="D53" s="48">
        <v>8</v>
      </c>
      <c r="E53" s="49">
        <f>L51</f>
        <v>15486.119999999999</v>
      </c>
      <c r="F53" s="49"/>
      <c r="G53" s="49"/>
      <c r="H53" s="49"/>
      <c r="I53" s="49"/>
      <c r="J53" s="49"/>
      <c r="K53" s="49"/>
      <c r="L53" s="49"/>
      <c r="M53" s="49"/>
      <c r="N53" s="49">
        <f>E53</f>
        <v>15486.119999999999</v>
      </c>
      <c r="O53" s="50"/>
      <c r="P53" s="49"/>
      <c r="Q53" s="49"/>
      <c r="R53" s="49"/>
      <c r="S53" s="49">
        <v>15486</v>
      </c>
      <c r="T53" s="51" t="s">
        <v>79</v>
      </c>
      <c r="U53" s="49"/>
    </row>
    <row r="54" spans="1:21" ht="13.5" customHeight="1" x14ac:dyDescent="0.25">
      <c r="A54" s="5">
        <v>54955</v>
      </c>
      <c r="B54" s="46"/>
      <c r="H54" s="5"/>
      <c r="I54" s="5"/>
      <c r="O54" s="50"/>
      <c r="P54" s="49"/>
      <c r="Q54" s="49"/>
      <c r="R54" s="49"/>
      <c r="S54" s="49">
        <v>64350</v>
      </c>
      <c r="T54" s="51" t="s">
        <v>102</v>
      </c>
      <c r="U54" s="49"/>
    </row>
    <row r="55" spans="1:21" ht="13.5" customHeight="1" x14ac:dyDescent="0.25">
      <c r="A55" s="5">
        <v>54955</v>
      </c>
      <c r="B55" s="46"/>
      <c r="C55" s="47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49"/>
      <c r="T55" s="51"/>
      <c r="U55" s="49"/>
    </row>
    <row r="56" spans="1:21" ht="13.5" customHeight="1" x14ac:dyDescent="0.25">
      <c r="A56" s="5">
        <v>54955</v>
      </c>
      <c r="B56" s="46"/>
      <c r="C56" s="47"/>
      <c r="D56" s="48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49"/>
      <c r="T56" s="51"/>
      <c r="U56" s="49"/>
    </row>
    <row r="57" spans="1:21" s="18" customFormat="1" ht="18" customHeight="1" x14ac:dyDescent="0.25">
      <c r="B57" s="40"/>
      <c r="C57" s="41"/>
      <c r="D57" s="42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34">
        <f>A58</f>
        <v>54954</v>
      </c>
      <c r="P57" s="19"/>
      <c r="Q57" s="19"/>
      <c r="R57" s="19"/>
      <c r="S57" s="19"/>
      <c r="T57" s="43"/>
      <c r="U57" s="19">
        <f>SUM(N50:N56)-SUM(S50:S56)</f>
        <v>-64349.880000000005</v>
      </c>
    </row>
    <row r="58" spans="1:21" ht="13.5" customHeight="1" x14ac:dyDescent="0.25">
      <c r="A58" s="5">
        <v>54954</v>
      </c>
      <c r="B58" s="46" t="s">
        <v>126</v>
      </c>
      <c r="C58" s="47">
        <v>44985</v>
      </c>
      <c r="D58" s="49">
        <v>5</v>
      </c>
      <c r="E58" s="49">
        <v>222000</v>
      </c>
      <c r="F58" s="49">
        <v>69165</v>
      </c>
      <c r="G58" s="15">
        <f>ROUND(E58-F58,0)</f>
        <v>152835</v>
      </c>
      <c r="H58" s="15">
        <f>G58*18%</f>
        <v>27510.3</v>
      </c>
      <c r="I58" s="15">
        <f>G58+H58</f>
        <v>180345.3</v>
      </c>
      <c r="J58" s="15">
        <f>G58*$J$6</f>
        <v>1528.3500000000001</v>
      </c>
      <c r="K58" s="15">
        <f>G58*10%</f>
        <v>15283.5</v>
      </c>
      <c r="L58" s="15">
        <f>G58*18%</f>
        <v>27510.3</v>
      </c>
      <c r="M58" s="15">
        <v>0</v>
      </c>
      <c r="N58" s="15">
        <f>ROUND(I58-SUM(J58:M58),0)</f>
        <v>136023</v>
      </c>
      <c r="O58" s="50"/>
      <c r="P58" s="49"/>
      <c r="Q58" s="49"/>
      <c r="R58" s="49"/>
      <c r="S58" s="49">
        <v>136023</v>
      </c>
      <c r="T58" s="51" t="s">
        <v>80</v>
      </c>
      <c r="U58" s="49"/>
    </row>
    <row r="59" spans="1:21" ht="13.5" customHeight="1" x14ac:dyDescent="0.25">
      <c r="A59" s="5">
        <v>54954</v>
      </c>
      <c r="B59" s="57"/>
      <c r="C59" s="47"/>
      <c r="D59" s="48"/>
      <c r="E59" s="49"/>
      <c r="F59" s="49"/>
      <c r="G59" s="49"/>
      <c r="H59" s="49"/>
      <c r="I59" s="49"/>
      <c r="J59" s="49"/>
      <c r="K59" s="49"/>
      <c r="L59" s="49"/>
      <c r="M59" s="49"/>
      <c r="N59" s="49">
        <v>27510</v>
      </c>
      <c r="O59" s="50"/>
      <c r="P59" s="49"/>
      <c r="Q59" s="49"/>
      <c r="R59" s="49"/>
      <c r="S59" s="49">
        <v>141510</v>
      </c>
      <c r="T59" s="51" t="s">
        <v>81</v>
      </c>
      <c r="U59" s="49"/>
    </row>
    <row r="60" spans="1:21" ht="13.5" customHeight="1" x14ac:dyDescent="0.25">
      <c r="A60" s="5">
        <v>54954</v>
      </c>
      <c r="B60" s="57" t="s">
        <v>126</v>
      </c>
      <c r="C60" s="47">
        <v>45013</v>
      </c>
      <c r="D60" s="49">
        <v>9</v>
      </c>
      <c r="E60" s="49">
        <v>159000</v>
      </c>
      <c r="F60" s="49">
        <v>0</v>
      </c>
      <c r="G60" s="15">
        <f>ROUND(E60-F60,0)</f>
        <v>159000</v>
      </c>
      <c r="H60" s="15">
        <f>G60*18%</f>
        <v>28620</v>
      </c>
      <c r="I60" s="15">
        <f>G60+H60</f>
        <v>187620</v>
      </c>
      <c r="J60" s="15">
        <f>G60*$J$6</f>
        <v>1590</v>
      </c>
      <c r="K60" s="15">
        <f>G60*10%</f>
        <v>15900</v>
      </c>
      <c r="L60" s="15">
        <f>G60*18%</f>
        <v>28620</v>
      </c>
      <c r="M60" s="15">
        <v>0</v>
      </c>
      <c r="N60" s="15">
        <f>ROUND(I60-SUM(J60:M60),0)</f>
        <v>141510</v>
      </c>
      <c r="O60" s="50"/>
      <c r="P60" s="49"/>
      <c r="Q60" s="49"/>
      <c r="R60" s="49"/>
      <c r="S60" s="49">
        <v>27510</v>
      </c>
      <c r="T60" s="51" t="s">
        <v>82</v>
      </c>
      <c r="U60" s="49"/>
    </row>
    <row r="61" spans="1:21" ht="13.5" customHeight="1" x14ac:dyDescent="0.25">
      <c r="A61" s="5">
        <v>54954</v>
      </c>
      <c r="B61" s="46"/>
      <c r="C61" s="47"/>
      <c r="D61" s="48"/>
      <c r="E61" s="49"/>
      <c r="F61" s="49"/>
      <c r="G61" s="49"/>
      <c r="H61" s="49"/>
      <c r="I61" s="49"/>
      <c r="J61" s="49"/>
      <c r="K61" s="49"/>
      <c r="L61" s="49"/>
      <c r="M61" s="49"/>
      <c r="N61" s="49">
        <v>28620</v>
      </c>
      <c r="O61" s="50"/>
      <c r="P61" s="49"/>
      <c r="Q61" s="49"/>
      <c r="R61" s="49"/>
      <c r="S61" s="49">
        <v>28620</v>
      </c>
      <c r="T61" s="51" t="s">
        <v>83</v>
      </c>
      <c r="U61" s="49"/>
    </row>
    <row r="62" spans="1:21" ht="13.5" customHeight="1" x14ac:dyDescent="0.25">
      <c r="A62" s="5">
        <v>54954</v>
      </c>
      <c r="B62" s="46"/>
      <c r="C62" s="47"/>
      <c r="D62" s="48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49">
        <f>SUM(S8:S61)</f>
        <v>3619410</v>
      </c>
      <c r="T62" s="51"/>
      <c r="U62" s="49"/>
    </row>
    <row r="63" spans="1:21" ht="13.5" customHeight="1" x14ac:dyDescent="0.25">
      <c r="A63" s="5">
        <v>54954</v>
      </c>
      <c r="B63" s="46"/>
      <c r="C63" s="47"/>
      <c r="D63" s="48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49"/>
      <c r="T63" s="51"/>
      <c r="U63" s="49"/>
    </row>
    <row r="64" spans="1:21" ht="13.5" customHeight="1" x14ac:dyDescent="0.25">
      <c r="A64" s="5">
        <v>54954</v>
      </c>
      <c r="B64" s="46"/>
      <c r="C64" s="47"/>
      <c r="D64" s="48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49"/>
      <c r="T64" s="51"/>
      <c r="U64" s="49"/>
    </row>
    <row r="65" spans="1:21" ht="13.5" customHeight="1" thickBot="1" x14ac:dyDescent="0.3">
      <c r="A65" s="5">
        <v>54954</v>
      </c>
      <c r="B65" s="3"/>
      <c r="C65" s="3"/>
      <c r="D65" s="3"/>
      <c r="E65" s="44"/>
      <c r="F65" s="44"/>
      <c r="G65" s="44"/>
      <c r="H65" s="16"/>
      <c r="I65" s="16"/>
      <c r="J65" s="16"/>
      <c r="K65" s="16"/>
      <c r="L65" s="16"/>
      <c r="M65" s="16"/>
      <c r="N65" s="16"/>
      <c r="O65" s="45"/>
      <c r="P65" s="16"/>
      <c r="Q65" s="16"/>
      <c r="R65" s="16"/>
      <c r="S65" s="16"/>
      <c r="T65" s="16"/>
      <c r="U65" s="19">
        <f>SUM(N58:N62)-SUM(S58:S62)</f>
        <v>-3619410</v>
      </c>
    </row>
    <row r="66" spans="1:21" ht="13.5" customHeight="1" x14ac:dyDescent="0.25">
      <c r="A66" s="13"/>
      <c r="B66" s="20"/>
      <c r="C66" s="20"/>
      <c r="D66" s="20"/>
      <c r="E66" s="20"/>
      <c r="F66" s="20"/>
      <c r="G66" s="20"/>
      <c r="H66" s="20"/>
      <c r="I66" s="20"/>
      <c r="J66" s="20">
        <f t="shared" ref="J66:L66" si="0">SUM(J8:J65)</f>
        <v>30393.79</v>
      </c>
      <c r="K66" s="20">
        <f t="shared" si="0"/>
        <v>258533.7</v>
      </c>
      <c r="L66" s="20">
        <f t="shared" si="0"/>
        <v>547094.30000000005</v>
      </c>
      <c r="M66" s="20">
        <f>SUM(M8:M65)</f>
        <v>89600</v>
      </c>
      <c r="N66" s="20"/>
      <c r="O66" s="20"/>
      <c r="P66" s="20"/>
      <c r="Q66" s="20"/>
      <c r="R66" s="20"/>
      <c r="S66" s="20"/>
      <c r="T66" s="20"/>
      <c r="U66" s="20"/>
    </row>
    <row r="67" spans="1:21" ht="13.5" customHeight="1" x14ac:dyDescent="0.25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f>SUM(U6:U66)</f>
        <v>-4084343.12</v>
      </c>
    </row>
    <row r="68" spans="1:21" ht="13.5" customHeight="1" x14ac:dyDescent="0.25">
      <c r="A68" s="13"/>
      <c r="B68" s="15"/>
      <c r="C68" s="15"/>
      <c r="D68" s="15"/>
      <c r="E68" s="15"/>
      <c r="F68" s="15"/>
      <c r="G68" s="15"/>
      <c r="H68" s="15"/>
      <c r="I68" s="15"/>
      <c r="J68" s="22" t="s">
        <v>18</v>
      </c>
      <c r="K68" s="22"/>
      <c r="L68" s="22"/>
      <c r="M68" s="22"/>
      <c r="N68" s="22">
        <f>SUM(N8:N65)</f>
        <v>3154476.88</v>
      </c>
      <c r="O68" s="22"/>
      <c r="P68" s="22" t="s">
        <v>20</v>
      </c>
      <c r="Q68" s="22"/>
      <c r="R68" s="22"/>
      <c r="S68" s="22">
        <f>SUM(S6:S65)</f>
        <v>7238820</v>
      </c>
      <c r="T68" s="15"/>
      <c r="U68" s="22"/>
    </row>
    <row r="69" spans="1:21" ht="13.5" customHeight="1" x14ac:dyDescent="0.25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13.5" customHeight="1" x14ac:dyDescent="0.25">
      <c r="A70" s="1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22" t="s">
        <v>19</v>
      </c>
      <c r="Q70" s="15"/>
      <c r="R70" s="15"/>
      <c r="S70" s="22">
        <f>N68-S68</f>
        <v>-4084343.12</v>
      </c>
      <c r="T70" s="22"/>
      <c r="U70" s="22"/>
    </row>
    <row r="71" spans="1:21" ht="13.5" customHeight="1" thickBot="1" x14ac:dyDescent="0.3">
      <c r="A71" s="1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5" spans="1:21" ht="13.5" customHeight="1" thickBot="1" x14ac:dyDescent="0.3"/>
    <row r="76" spans="1:21" ht="13.5" customHeight="1" thickBot="1" x14ac:dyDescent="0.3">
      <c r="I76" s="66" t="s">
        <v>86</v>
      </c>
      <c r="J76" s="66"/>
      <c r="K76" s="66"/>
      <c r="L76" s="66"/>
    </row>
    <row r="77" spans="1:21" ht="13.5" customHeight="1" thickBot="1" x14ac:dyDescent="0.3">
      <c r="I77" s="66" t="s">
        <v>103</v>
      </c>
      <c r="J77" s="66"/>
      <c r="K77" s="66"/>
      <c r="L77" s="66"/>
    </row>
    <row r="78" spans="1:21" ht="13.5" customHeight="1" thickBot="1" x14ac:dyDescent="0.3">
      <c r="I78" s="59" t="s">
        <v>84</v>
      </c>
      <c r="J78" s="59"/>
      <c r="K78" s="58">
        <f>K66</f>
        <v>258533.7</v>
      </c>
      <c r="L78" s="58"/>
      <c r="M78" s="52"/>
    </row>
    <row r="79" spans="1:21" ht="13.5" customHeight="1" thickBot="1" x14ac:dyDescent="0.3">
      <c r="I79" s="59" t="s">
        <v>63</v>
      </c>
      <c r="J79" s="59"/>
      <c r="K79" s="58">
        <f>M66</f>
        <v>89600</v>
      </c>
      <c r="L79" s="58"/>
    </row>
    <row r="80" spans="1:21" ht="13.5" customHeight="1" thickBot="1" x14ac:dyDescent="0.3">
      <c r="I80" s="67" t="s">
        <v>61</v>
      </c>
      <c r="J80" s="67"/>
      <c r="K80" s="58">
        <f>S70</f>
        <v>-4084343.12</v>
      </c>
      <c r="L80" s="58"/>
    </row>
    <row r="81" spans="9:12" ht="13.5" customHeight="1" thickBot="1" x14ac:dyDescent="0.3">
      <c r="I81" s="62" t="s">
        <v>62</v>
      </c>
      <c r="J81" s="63"/>
      <c r="K81" s="64" t="s">
        <v>67</v>
      </c>
      <c r="L81" s="65"/>
    </row>
    <row r="82" spans="9:12" ht="13.5" customHeight="1" thickBot="1" x14ac:dyDescent="0.3">
      <c r="I82" s="59" t="s">
        <v>85</v>
      </c>
      <c r="J82" s="59"/>
      <c r="K82" s="58">
        <f>24*5200</f>
        <v>124800</v>
      </c>
      <c r="L82" s="58"/>
    </row>
    <row r="83" spans="9:12" ht="13.5" customHeight="1" thickBot="1" x14ac:dyDescent="0.3">
      <c r="I83" s="59" t="s">
        <v>89</v>
      </c>
      <c r="J83" s="59"/>
      <c r="K83" s="58">
        <f>K78+K79+K82</f>
        <v>472933.7</v>
      </c>
      <c r="L83" s="58"/>
    </row>
    <row r="84" spans="9:12" ht="13.5" customHeight="1" thickBot="1" x14ac:dyDescent="0.3">
      <c r="I84" s="59" t="s">
        <v>87</v>
      </c>
      <c r="J84" s="59"/>
      <c r="K84" s="58">
        <f>K80</f>
        <v>-4084343.12</v>
      </c>
      <c r="L84" s="58"/>
    </row>
    <row r="85" spans="9:12" ht="13.5" customHeight="1" thickBot="1" x14ac:dyDescent="0.3">
      <c r="I85" s="59" t="s">
        <v>88</v>
      </c>
      <c r="J85" s="59"/>
      <c r="K85" s="58">
        <f>K83+K84</f>
        <v>-3611409.42</v>
      </c>
      <c r="L85" s="58"/>
    </row>
  </sheetData>
  <mergeCells count="19">
    <mergeCell ref="B50:B51"/>
    <mergeCell ref="I81:J81"/>
    <mergeCell ref="K81:L81"/>
    <mergeCell ref="I76:L76"/>
    <mergeCell ref="I78:J78"/>
    <mergeCell ref="K78:L78"/>
    <mergeCell ref="I79:J79"/>
    <mergeCell ref="K79:L79"/>
    <mergeCell ref="I80:J80"/>
    <mergeCell ref="K80:L80"/>
    <mergeCell ref="I77:L77"/>
    <mergeCell ref="K85:L85"/>
    <mergeCell ref="I85:J85"/>
    <mergeCell ref="K82:L82"/>
    <mergeCell ref="I82:J82"/>
    <mergeCell ref="I83:J83"/>
    <mergeCell ref="I84:J84"/>
    <mergeCell ref="K83:L83"/>
    <mergeCell ref="K84:L84"/>
  </mergeCells>
  <pageMargins left="0.11811023622047245" right="0.11811023622047245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opLeftCell="B13" zoomScale="130" zoomScaleNormal="130" workbookViewId="0">
      <selection activeCell="M27" sqref="M27"/>
    </sheetView>
  </sheetViews>
  <sheetFormatPr defaultColWidth="9" defaultRowHeight="13.5" customHeight="1" x14ac:dyDescent="0.25"/>
  <cols>
    <col min="1" max="1" width="6.5703125" style="5" bestFit="1" customWidth="1"/>
    <col min="2" max="2" width="22" style="5" customWidth="1"/>
    <col min="3" max="3" width="13.42578125" style="5" bestFit="1" customWidth="1"/>
    <col min="4" max="4" width="16.7109375" style="5" customWidth="1"/>
    <col min="5" max="5" width="13.28515625" style="5" bestFit="1" customWidth="1"/>
    <col min="6" max="7" width="13.28515625" style="5" customWidth="1"/>
    <col min="8" max="8" width="14.7109375" style="17" customWidth="1"/>
    <col min="9" max="9" width="12.85546875" style="17" bestFit="1" customWidth="1"/>
    <col min="10" max="10" width="15.140625" style="5" customWidth="1"/>
    <col min="11" max="11" width="12.28515625" style="5" bestFit="1" customWidth="1"/>
    <col min="12" max="12" width="14.85546875" style="5" customWidth="1"/>
    <col min="13" max="13" width="11" style="5" customWidth="1"/>
    <col min="14" max="14" width="14.85546875" style="5" customWidth="1"/>
    <col min="15" max="15" width="9.28515625" style="5" customWidth="1"/>
    <col min="16" max="16" width="15.7109375" style="5" hidden="1" customWidth="1"/>
    <col min="17" max="17" width="12.7109375" style="5" hidden="1" customWidth="1"/>
    <col min="18" max="18" width="14.5703125" style="5" hidden="1" customWidth="1"/>
    <col min="19" max="19" width="16.140625" style="5" bestFit="1" customWidth="1"/>
    <col min="20" max="20" width="82.5703125" style="5" bestFit="1" customWidth="1"/>
    <col min="21" max="21" width="11.42578125" style="5" bestFit="1" customWidth="1"/>
    <col min="22" max="16384" width="9" style="5"/>
  </cols>
  <sheetData>
    <row r="1" spans="1:21" ht="13.5" customHeight="1" thickBot="1" x14ac:dyDescent="0.3">
      <c r="B1" s="4" t="s">
        <v>17</v>
      </c>
      <c r="E1" s="6"/>
      <c r="F1" s="6"/>
      <c r="G1" s="6"/>
      <c r="H1" s="7"/>
      <c r="I1" s="7"/>
    </row>
    <row r="2" spans="1:21" ht="13.5" customHeight="1" thickBot="1" x14ac:dyDescent="0.3">
      <c r="B2" s="8" t="s">
        <v>0</v>
      </c>
      <c r="C2" s="9"/>
      <c r="D2" s="9" t="s">
        <v>22</v>
      </c>
      <c r="G2" s="10" t="s">
        <v>90</v>
      </c>
      <c r="I2" s="10"/>
      <c r="J2" s="11"/>
      <c r="K2" s="11"/>
      <c r="L2" s="11"/>
      <c r="M2" s="11"/>
      <c r="N2" s="11"/>
      <c r="O2" s="11"/>
      <c r="P2" s="11"/>
      <c r="Q2" s="11"/>
      <c r="R2" s="11"/>
    </row>
    <row r="3" spans="1:21" ht="13.5" customHeight="1" thickBot="1" x14ac:dyDescent="0.3">
      <c r="B3" s="12"/>
      <c r="C3" s="12"/>
      <c r="D3" s="12"/>
      <c r="E3" s="12"/>
      <c r="F3" s="11"/>
      <c r="G3" s="11"/>
      <c r="H3" s="13"/>
      <c r="I3" s="13"/>
      <c r="J3" s="11"/>
      <c r="K3" s="11"/>
      <c r="P3" s="11"/>
      <c r="Q3" s="14"/>
      <c r="R3" s="14"/>
      <c r="S3" s="14"/>
      <c r="T3" s="14"/>
      <c r="U3" s="14"/>
    </row>
    <row r="4" spans="1:21" ht="13.5" customHeight="1" thickBot="1" x14ac:dyDescent="0.3">
      <c r="B4" s="23" t="s">
        <v>1</v>
      </c>
      <c r="C4" s="24" t="s">
        <v>2</v>
      </c>
      <c r="D4" s="24" t="s">
        <v>3</v>
      </c>
      <c r="E4" s="25" t="s">
        <v>4</v>
      </c>
      <c r="F4" s="24" t="s">
        <v>15</v>
      </c>
      <c r="G4" s="26" t="s">
        <v>16</v>
      </c>
      <c r="H4" s="27" t="s">
        <v>5</v>
      </c>
      <c r="I4" s="28" t="s">
        <v>6</v>
      </c>
      <c r="J4" s="29" t="s">
        <v>13</v>
      </c>
      <c r="K4" s="30" t="s">
        <v>12</v>
      </c>
      <c r="L4" s="30" t="s">
        <v>7</v>
      </c>
      <c r="M4" s="30" t="s">
        <v>21</v>
      </c>
      <c r="N4" s="30" t="s">
        <v>8</v>
      </c>
      <c r="O4" s="1"/>
      <c r="P4" s="29" t="s">
        <v>9</v>
      </c>
      <c r="Q4" s="29" t="s">
        <v>6</v>
      </c>
      <c r="R4" s="29" t="s">
        <v>14</v>
      </c>
      <c r="S4" s="29" t="s">
        <v>10</v>
      </c>
      <c r="T4" s="30" t="s">
        <v>11</v>
      </c>
      <c r="U4" s="29" t="s">
        <v>65</v>
      </c>
    </row>
    <row r="5" spans="1:21" ht="13.5" customHeight="1" x14ac:dyDescent="0.25">
      <c r="B5" s="20"/>
      <c r="C5" s="20"/>
      <c r="D5" s="20"/>
      <c r="E5" s="20"/>
      <c r="F5" s="20"/>
      <c r="G5" s="20"/>
      <c r="H5" s="31">
        <v>0.18</v>
      </c>
      <c r="I5" s="20"/>
      <c r="J5" s="31">
        <v>0.01</v>
      </c>
      <c r="K5" s="31">
        <v>0.05</v>
      </c>
      <c r="L5" s="31">
        <v>0.18</v>
      </c>
      <c r="M5" s="31"/>
      <c r="N5" s="20"/>
      <c r="O5" s="32"/>
      <c r="P5" s="20"/>
      <c r="Q5" s="20"/>
      <c r="R5" s="31">
        <v>0.01</v>
      </c>
      <c r="S5" s="20"/>
      <c r="T5" s="20"/>
      <c r="U5" s="20"/>
    </row>
    <row r="6" spans="1:21" s="18" customFormat="1" ht="13.5" customHeight="1" x14ac:dyDescent="0.25">
      <c r="B6" s="19"/>
      <c r="C6" s="19"/>
      <c r="D6" s="19"/>
      <c r="E6" s="19"/>
      <c r="F6" s="19"/>
      <c r="G6" s="19"/>
      <c r="H6" s="33"/>
      <c r="I6" s="19"/>
      <c r="J6" s="33"/>
      <c r="K6" s="33"/>
      <c r="L6" s="33"/>
      <c r="M6" s="33"/>
      <c r="N6" s="19"/>
      <c r="O6" s="34">
        <f>A7</f>
        <v>57527</v>
      </c>
      <c r="P6" s="19"/>
      <c r="Q6" s="19"/>
      <c r="R6" s="33"/>
      <c r="S6" s="19"/>
      <c r="T6" s="19"/>
      <c r="U6" s="19"/>
    </row>
    <row r="7" spans="1:21" ht="29.25" customHeight="1" x14ac:dyDescent="0.25">
      <c r="A7" s="5">
        <v>57527</v>
      </c>
      <c r="B7" s="35" t="s">
        <v>23</v>
      </c>
      <c r="C7" s="2">
        <v>45637</v>
      </c>
      <c r="D7" s="36">
        <v>2</v>
      </c>
      <c r="E7" s="15">
        <v>100450</v>
      </c>
      <c r="F7" s="15">
        <v>0</v>
      </c>
      <c r="G7" s="15">
        <f>ROUND(E7-F7,0)</f>
        <v>100450</v>
      </c>
      <c r="H7" s="15">
        <f>G7*18%</f>
        <v>18081</v>
      </c>
      <c r="I7" s="15">
        <f>G7+H7</f>
        <v>118531</v>
      </c>
      <c r="J7" s="15">
        <f>G7*$J$5</f>
        <v>1004.5</v>
      </c>
      <c r="K7" s="15">
        <f>G7*$K$5</f>
        <v>5022.5</v>
      </c>
      <c r="L7" s="15">
        <f>H7</f>
        <v>18081</v>
      </c>
      <c r="M7" s="15">
        <v>0</v>
      </c>
      <c r="N7" s="15">
        <f>ROUND(I7-SUM(J7:M7),0)</f>
        <v>94423</v>
      </c>
      <c r="O7" s="54" t="s">
        <v>92</v>
      </c>
      <c r="P7" s="15" t="s">
        <v>66</v>
      </c>
      <c r="Q7" s="15"/>
      <c r="R7" s="15"/>
      <c r="S7" s="15"/>
      <c r="T7" s="38"/>
      <c r="U7" s="15"/>
    </row>
    <row r="8" spans="1:21" s="18" customFormat="1" ht="13.5" customHeight="1" x14ac:dyDescent="0.25">
      <c r="B8" s="40"/>
      <c r="C8" s="41"/>
      <c r="D8" s="42"/>
      <c r="E8" s="19"/>
      <c r="F8" s="19"/>
      <c r="G8" s="19"/>
      <c r="H8" s="19"/>
      <c r="I8" s="19"/>
      <c r="J8" s="19"/>
      <c r="K8" s="19"/>
      <c r="L8" s="19"/>
      <c r="M8" s="19"/>
      <c r="N8" s="19"/>
      <c r="O8" s="34">
        <f>A9</f>
        <v>57522</v>
      </c>
      <c r="P8" s="19"/>
      <c r="Q8" s="19"/>
      <c r="R8" s="19"/>
      <c r="S8" s="19"/>
      <c r="T8" s="43"/>
      <c r="U8" s="19">
        <f>SUM(N7:N7)-SUM(S7:S7)</f>
        <v>94423</v>
      </c>
    </row>
    <row r="9" spans="1:21" ht="32.25" customHeight="1" x14ac:dyDescent="0.25">
      <c r="A9" s="5">
        <v>57522</v>
      </c>
      <c r="B9" s="35" t="s">
        <v>26</v>
      </c>
      <c r="C9" s="2">
        <v>45637</v>
      </c>
      <c r="D9" s="39">
        <v>3</v>
      </c>
      <c r="E9" s="15">
        <v>85740</v>
      </c>
      <c r="F9" s="15">
        <v>0</v>
      </c>
      <c r="G9" s="15">
        <f>E9-F9</f>
        <v>85740</v>
      </c>
      <c r="H9" s="15">
        <f>G9*18%</f>
        <v>15433.199999999999</v>
      </c>
      <c r="I9" s="15">
        <f>G9+H9</f>
        <v>101173.2</v>
      </c>
      <c r="J9" s="15">
        <f>G9*$J$5</f>
        <v>857.4</v>
      </c>
      <c r="K9" s="15">
        <f>G9*10%</f>
        <v>8574</v>
      </c>
      <c r="L9" s="15">
        <f>G9*18%</f>
        <v>15433.199999999999</v>
      </c>
      <c r="M9" s="15">
        <v>0</v>
      </c>
      <c r="N9" s="15">
        <f>ROUND(I9-SUM(J9:M9),0)</f>
        <v>76309</v>
      </c>
      <c r="O9" s="54" t="s">
        <v>92</v>
      </c>
      <c r="P9" s="15"/>
      <c r="Q9" s="15"/>
      <c r="R9" s="15"/>
      <c r="S9" s="15"/>
      <c r="T9" s="38"/>
      <c r="U9" s="15"/>
    </row>
    <row r="10" spans="1:21" s="18" customFormat="1" ht="13.5" customHeight="1" x14ac:dyDescent="0.25">
      <c r="B10" s="40"/>
      <c r="C10" s="41"/>
      <c r="D10" s="4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34">
        <f>A11</f>
        <v>58766</v>
      </c>
      <c r="P10" s="19"/>
      <c r="Q10" s="19"/>
      <c r="R10" s="19"/>
      <c r="S10" s="19"/>
      <c r="T10" s="43"/>
      <c r="U10" s="19" t="e">
        <f>SUM(#REF!)-SUM(#REF!)</f>
        <v>#REF!</v>
      </c>
    </row>
    <row r="11" spans="1:21" ht="27.75" customHeight="1" x14ac:dyDescent="0.25">
      <c r="A11" s="5">
        <v>58766</v>
      </c>
      <c r="B11" s="35" t="s">
        <v>30</v>
      </c>
      <c r="C11" s="47">
        <v>45637</v>
      </c>
      <c r="D11" s="48">
        <v>4</v>
      </c>
      <c r="E11" s="49">
        <v>74060</v>
      </c>
      <c r="F11" s="15">
        <v>0</v>
      </c>
      <c r="G11" s="15">
        <f>ROUND(E11-F11,0)</f>
        <v>74060</v>
      </c>
      <c r="H11" s="15">
        <f>G11*18%</f>
        <v>13330.8</v>
      </c>
      <c r="I11" s="15">
        <f>G11+H11</f>
        <v>87390.8</v>
      </c>
      <c r="J11" s="15">
        <f>G11*$J$5</f>
        <v>740.6</v>
      </c>
      <c r="K11" s="15">
        <f>G11*10%</f>
        <v>7406</v>
      </c>
      <c r="L11" s="15">
        <f>G11*18%</f>
        <v>13330.8</v>
      </c>
      <c r="M11" s="49"/>
      <c r="N11" s="15">
        <f>ROUND(I11-SUM(J11:M11),0)</f>
        <v>65913</v>
      </c>
      <c r="O11" s="54" t="s">
        <v>92</v>
      </c>
      <c r="P11" s="15"/>
      <c r="Q11" s="15"/>
      <c r="R11" s="15"/>
      <c r="S11" s="15"/>
      <c r="T11" s="38"/>
      <c r="U11" s="15"/>
    </row>
    <row r="12" spans="1:21" s="18" customFormat="1" ht="18" customHeight="1" x14ac:dyDescent="0.25">
      <c r="B12" s="40"/>
      <c r="C12" s="41"/>
      <c r="D12" s="4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34">
        <f>A13</f>
        <v>59442</v>
      </c>
      <c r="P12" s="19"/>
      <c r="Q12" s="19"/>
      <c r="R12" s="19"/>
      <c r="S12" s="19"/>
      <c r="T12" s="43"/>
      <c r="U12" s="19" t="e">
        <f>SUM(#REF!)-SUM(#REF!)</f>
        <v>#REF!</v>
      </c>
    </row>
    <row r="13" spans="1:21" ht="32.25" customHeight="1" x14ac:dyDescent="0.25">
      <c r="A13" s="5">
        <v>59442</v>
      </c>
      <c r="B13" s="35" t="s">
        <v>44</v>
      </c>
      <c r="C13" s="2">
        <v>45616</v>
      </c>
      <c r="D13" s="36">
        <v>1</v>
      </c>
      <c r="E13" s="15">
        <v>37000</v>
      </c>
      <c r="F13" s="15">
        <v>0</v>
      </c>
      <c r="G13" s="15">
        <f>ROUND(E13-F13,0)</f>
        <v>37000</v>
      </c>
      <c r="H13" s="15">
        <f>G13*18%</f>
        <v>6660</v>
      </c>
      <c r="I13" s="15">
        <f>G13+H13</f>
        <v>43660</v>
      </c>
      <c r="J13" s="15">
        <f>G13*$J$5</f>
        <v>370</v>
      </c>
      <c r="K13" s="15">
        <f>G13*10%</f>
        <v>3700</v>
      </c>
      <c r="L13" s="15">
        <f>E13*18%</f>
        <v>6660</v>
      </c>
      <c r="M13" s="15">
        <v>0</v>
      </c>
      <c r="N13" s="15">
        <f>ROUND(I13-SUM(J13:M13),0)</f>
        <v>32930</v>
      </c>
      <c r="O13" s="54" t="s">
        <v>92</v>
      </c>
      <c r="P13" s="15"/>
      <c r="Q13" s="15"/>
      <c r="R13" s="15"/>
      <c r="S13" s="15"/>
      <c r="T13" s="38"/>
      <c r="U13" s="15"/>
    </row>
    <row r="14" spans="1:21" ht="32.25" customHeight="1" x14ac:dyDescent="0.25">
      <c r="B14" s="46"/>
      <c r="C14" s="47"/>
      <c r="D14" s="55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6"/>
      <c r="P14" s="49"/>
      <c r="Q14" s="49"/>
      <c r="R14" s="49"/>
      <c r="S14" s="49"/>
      <c r="T14" s="51"/>
      <c r="U14" s="15"/>
    </row>
    <row r="15" spans="1:21" ht="32.25" customHeight="1" x14ac:dyDescent="0.25">
      <c r="B15" s="46"/>
      <c r="C15" s="47"/>
      <c r="D15" s="55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6"/>
      <c r="P15" s="49"/>
      <c r="Q15" s="49"/>
      <c r="R15" s="49"/>
      <c r="S15" s="49"/>
      <c r="T15" s="51"/>
      <c r="U15" s="15"/>
    </row>
    <row r="16" spans="1:21" ht="32.25" customHeight="1" x14ac:dyDescent="0.25">
      <c r="B16" s="46"/>
      <c r="C16" s="47"/>
      <c r="D16" s="55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6"/>
      <c r="P16" s="49"/>
      <c r="Q16" s="49"/>
      <c r="R16" s="49"/>
      <c r="S16" s="49"/>
      <c r="T16" s="51"/>
      <c r="U16" s="15"/>
    </row>
    <row r="17" spans="1:21" ht="13.5" customHeight="1" thickBot="1" x14ac:dyDescent="0.3">
      <c r="B17" s="3"/>
      <c r="C17" s="3"/>
      <c r="D17" s="3"/>
      <c r="E17" s="44"/>
      <c r="F17" s="44"/>
      <c r="G17" s="44"/>
      <c r="H17" s="16"/>
      <c r="I17" s="16"/>
      <c r="J17" s="16"/>
      <c r="K17" s="16"/>
      <c r="L17" s="16"/>
      <c r="M17" s="16"/>
      <c r="N17" s="16"/>
      <c r="O17" s="45"/>
      <c r="P17" s="16"/>
      <c r="Q17" s="16"/>
      <c r="R17" s="16"/>
      <c r="S17" s="16"/>
      <c r="T17" s="16"/>
      <c r="U17" s="19" t="e">
        <f>SUM(#REF!)-SUM(#REF!)</f>
        <v>#REF!</v>
      </c>
    </row>
    <row r="18" spans="1:21" ht="13.5" customHeight="1" x14ac:dyDescent="0.25">
      <c r="A18" s="13"/>
      <c r="B18" s="20"/>
      <c r="C18" s="20"/>
      <c r="D18" s="20"/>
      <c r="E18" s="20"/>
      <c r="F18" s="20"/>
      <c r="G18" s="20"/>
      <c r="H18" s="20"/>
      <c r="I18" s="20"/>
      <c r="J18" s="20">
        <f>SUM(J7:J17)</f>
        <v>2972.5</v>
      </c>
      <c r="K18" s="20">
        <f>SUM(K7:K17)</f>
        <v>24702.5</v>
      </c>
      <c r="L18" s="20">
        <f>SUM(L7:L17)</f>
        <v>53505</v>
      </c>
      <c r="M18" s="20">
        <f>SUM(M7:M17)</f>
        <v>0</v>
      </c>
      <c r="N18" s="20"/>
      <c r="O18" s="20"/>
      <c r="P18" s="20"/>
      <c r="Q18" s="20"/>
      <c r="R18" s="20"/>
      <c r="S18" s="20"/>
      <c r="T18" s="20"/>
      <c r="U18" s="20"/>
    </row>
    <row r="19" spans="1:21" ht="13.5" customHeight="1" x14ac:dyDescent="0.25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 t="e">
        <f>SUM(U5:U18)</f>
        <v>#REF!</v>
      </c>
    </row>
    <row r="20" spans="1:21" ht="13.5" customHeight="1" x14ac:dyDescent="0.25">
      <c r="A20" s="13"/>
      <c r="B20" s="15"/>
      <c r="C20" s="15"/>
      <c r="D20" s="15"/>
      <c r="E20" s="15"/>
      <c r="F20" s="15"/>
      <c r="G20" s="15"/>
      <c r="H20" s="15"/>
      <c r="I20" s="15"/>
      <c r="J20" s="22" t="s">
        <v>18</v>
      </c>
      <c r="K20" s="22"/>
      <c r="L20" s="22"/>
      <c r="M20" s="22"/>
      <c r="N20" s="22">
        <f>SUM(N7:N17)</f>
        <v>269575</v>
      </c>
      <c r="O20" s="22"/>
      <c r="P20" s="22" t="s">
        <v>20</v>
      </c>
      <c r="Q20" s="22"/>
      <c r="R20" s="22"/>
      <c r="S20" s="22">
        <f>SUM(S5:S17)</f>
        <v>0</v>
      </c>
      <c r="T20" s="15"/>
      <c r="U20" s="22"/>
    </row>
    <row r="21" spans="1:21" ht="13.5" customHeight="1" x14ac:dyDescent="0.25">
      <c r="A21" s="1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13.5" customHeight="1" x14ac:dyDescent="0.25">
      <c r="A22" s="1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2" t="s">
        <v>19</v>
      </c>
      <c r="Q22" s="15"/>
      <c r="R22" s="15"/>
      <c r="S22" s="22">
        <f>N20-S20</f>
        <v>269575</v>
      </c>
      <c r="T22" s="22"/>
      <c r="U22" s="22"/>
    </row>
    <row r="23" spans="1:21" ht="13.5" customHeight="1" thickBot="1" x14ac:dyDescent="0.3">
      <c r="A23" s="13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7" spans="1:21" ht="13.5" customHeight="1" thickBot="1" x14ac:dyDescent="0.3"/>
    <row r="28" spans="1:21" ht="13.5" customHeight="1" thickBot="1" x14ac:dyDescent="0.3">
      <c r="I28" s="66" t="s">
        <v>86</v>
      </c>
      <c r="J28" s="66"/>
      <c r="K28" s="66"/>
      <c r="L28" s="66"/>
    </row>
    <row r="29" spans="1:21" ht="13.5" customHeight="1" thickBot="1" x14ac:dyDescent="0.3">
      <c r="I29" s="59" t="s">
        <v>84</v>
      </c>
      <c r="J29" s="59"/>
      <c r="K29" s="58">
        <f>K18</f>
        <v>24702.5</v>
      </c>
      <c r="L29" s="58"/>
      <c r="M29" s="52"/>
    </row>
    <row r="30" spans="1:21" ht="13.5" customHeight="1" thickBot="1" x14ac:dyDescent="0.3">
      <c r="I30" s="59" t="s">
        <v>63</v>
      </c>
      <c r="J30" s="59"/>
      <c r="K30" s="58">
        <f>M18</f>
        <v>0</v>
      </c>
      <c r="L30" s="58"/>
    </row>
    <row r="31" spans="1:21" ht="13.5" customHeight="1" thickBot="1" x14ac:dyDescent="0.3">
      <c r="I31" s="67" t="s">
        <v>93</v>
      </c>
      <c r="J31" s="67"/>
      <c r="K31" s="58">
        <f>S22</f>
        <v>269575</v>
      </c>
      <c r="L31" s="58"/>
    </row>
    <row r="32" spans="1:21" ht="13.5" customHeight="1" thickBot="1" x14ac:dyDescent="0.3">
      <c r="I32" s="62" t="s">
        <v>62</v>
      </c>
      <c r="J32" s="63"/>
      <c r="K32" s="64" t="s">
        <v>67</v>
      </c>
      <c r="L32" s="65"/>
    </row>
    <row r="33" spans="9:12" ht="13.5" customHeight="1" thickBot="1" x14ac:dyDescent="0.3">
      <c r="I33" s="59" t="s">
        <v>85</v>
      </c>
      <c r="J33" s="59"/>
      <c r="K33" s="58">
        <f>24*5200</f>
        <v>124800</v>
      </c>
      <c r="L33" s="58"/>
    </row>
    <row r="34" spans="9:12" ht="13.5" customHeight="1" thickBot="1" x14ac:dyDescent="0.3">
      <c r="I34" s="59"/>
      <c r="J34" s="59"/>
      <c r="K34" s="58"/>
      <c r="L34" s="58"/>
    </row>
    <row r="35" spans="9:12" ht="13.5" customHeight="1" thickBot="1" x14ac:dyDescent="0.3">
      <c r="I35" s="59"/>
      <c r="J35" s="59"/>
      <c r="K35" s="58"/>
      <c r="L35" s="58"/>
    </row>
    <row r="36" spans="9:12" ht="13.5" customHeight="1" thickBot="1" x14ac:dyDescent="0.3">
      <c r="I36" s="59"/>
      <c r="J36" s="59"/>
      <c r="K36" s="58"/>
      <c r="L36" s="58"/>
    </row>
  </sheetData>
  <mergeCells count="17">
    <mergeCell ref="I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I36:J36"/>
    <mergeCell ref="K36:L36"/>
  </mergeCells>
  <pageMargins left="0.11811023622047245" right="0.11811023622047245" top="0.74803149606299213" bottom="0.74803149606299213" header="0.31496062992125984" footer="0.31496062992125984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2024-12-11T11:17:58Z</cp:lastPrinted>
  <dcterms:created xsi:type="dcterms:W3CDTF">2022-06-10T14:11:52Z</dcterms:created>
  <dcterms:modified xsi:type="dcterms:W3CDTF">2025-04-01T11:22:05Z</dcterms:modified>
</cp:coreProperties>
</file>