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Temp_Downloads\upload_excel\New Excel File\"/>
    </mc:Choice>
  </mc:AlternateContent>
  <bookViews>
    <workbookView xWindow="0" yWindow="0" windowWidth="28800" windowHeight="13500"/>
  </bookViews>
  <sheets>
    <sheet name="Sheet1" sheetId="1" r:id="rId1"/>
  </sheets>
  <definedNames>
    <definedName name="_xlnm.Print_Area" localSheetId="0">Sheet1!$A$1:$X$48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I15" i="1" s="1"/>
  <c r="O15" i="1" s="1"/>
  <c r="G14" i="1" l="1"/>
  <c r="J14" i="1" s="1"/>
  <c r="G42" i="1"/>
  <c r="H42" i="1" s="1"/>
  <c r="K14" i="1" l="1"/>
  <c r="L14" i="1"/>
  <c r="H14" i="1"/>
  <c r="N14" i="1" s="1"/>
  <c r="I42" i="1"/>
  <c r="N42" i="1"/>
  <c r="J42" i="1"/>
  <c r="K42" i="1"/>
  <c r="G28" i="1"/>
  <c r="J28" i="1" s="1"/>
  <c r="O18" i="1"/>
  <c r="G40" i="1"/>
  <c r="H40" i="1" s="1"/>
  <c r="E41" i="1" s="1"/>
  <c r="F47" i="1"/>
  <c r="O43" i="1" l="1"/>
  <c r="E43" i="1"/>
  <c r="I14" i="1"/>
  <c r="O14" i="1" s="1"/>
  <c r="O42" i="1"/>
  <c r="H28" i="1"/>
  <c r="I28" i="1" s="1"/>
  <c r="N28" i="1"/>
  <c r="E29" i="1" s="1"/>
  <c r="O29" i="1" s="1"/>
  <c r="K28" i="1"/>
  <c r="I40" i="1"/>
  <c r="N40" i="1"/>
  <c r="O41" i="1" s="1"/>
  <c r="J40" i="1"/>
  <c r="K40" i="1"/>
  <c r="K19" i="1"/>
  <c r="K21" i="1"/>
  <c r="K17" i="1"/>
  <c r="N21" i="1"/>
  <c r="E22" i="1" s="1"/>
  <c r="O22" i="1" s="1"/>
  <c r="H21" i="1"/>
  <c r="I21" i="1" s="1"/>
  <c r="E21" i="1"/>
  <c r="P33" i="1"/>
  <c r="P23" i="1"/>
  <c r="P16" i="1"/>
  <c r="P11" i="1"/>
  <c r="P7" i="1"/>
  <c r="O28" i="1" l="1"/>
  <c r="O40" i="1"/>
  <c r="O21" i="1"/>
  <c r="E37" i="1"/>
  <c r="G37" i="1" s="1"/>
  <c r="J37" i="1" l="1"/>
  <c r="K37" i="1"/>
  <c r="H37" i="1"/>
  <c r="V13" i="1"/>
  <c r="V14" i="1"/>
  <c r="V27" i="1"/>
  <c r="V28" i="1"/>
  <c r="V35" i="1"/>
  <c r="V36" i="1"/>
  <c r="V37" i="1"/>
  <c r="N37" i="1" l="1"/>
  <c r="E39" i="1" s="1"/>
  <c r="O39" i="1" s="1"/>
  <c r="I37" i="1"/>
  <c r="N19" i="1"/>
  <c r="E20" i="1" s="1"/>
  <c r="H19" i="1"/>
  <c r="I19" i="1" s="1"/>
  <c r="O20" i="1" l="1"/>
  <c r="X22" i="1" s="1"/>
  <c r="O37" i="1"/>
  <c r="M19" i="1"/>
  <c r="M47" i="1" s="1"/>
  <c r="J19" i="1"/>
  <c r="G26" i="1"/>
  <c r="H26" i="1" s="1"/>
  <c r="I26" i="1" l="1"/>
  <c r="N26" i="1"/>
  <c r="E27" i="1" s="1"/>
  <c r="J26" i="1"/>
  <c r="K26" i="1"/>
  <c r="G36" i="1"/>
  <c r="H36" i="1" s="1"/>
  <c r="O27" i="1" l="1"/>
  <c r="K36" i="1"/>
  <c r="I36" i="1"/>
  <c r="N36" i="1"/>
  <c r="E38" i="1" s="1"/>
  <c r="O38" i="1" s="1"/>
  <c r="J36" i="1"/>
  <c r="O26" i="1"/>
  <c r="V26" i="1"/>
  <c r="V25" i="1"/>
  <c r="S24" i="1"/>
  <c r="V24" i="1" s="1"/>
  <c r="E47" i="1" l="1"/>
  <c r="O36" i="1"/>
  <c r="N35" i="1" l="1"/>
  <c r="G35" i="1"/>
  <c r="I35" i="1" s="1"/>
  <c r="O35" i="1" l="1"/>
  <c r="G13" i="1"/>
  <c r="I13" i="1" s="1"/>
  <c r="O13" i="1" s="1"/>
  <c r="G25" i="1" l="1"/>
  <c r="I25" i="1" s="1"/>
  <c r="O25" i="1" s="1"/>
  <c r="V34" i="1"/>
  <c r="V47" i="1" s="1"/>
  <c r="K24" i="1"/>
  <c r="J24" i="1"/>
  <c r="S12" i="1"/>
  <c r="G12" i="1"/>
  <c r="X46" i="1" l="1"/>
  <c r="L12" i="1"/>
  <c r="L47" i="1" s="1"/>
  <c r="G47" i="1"/>
  <c r="O24" i="1"/>
  <c r="X31" i="1" s="1"/>
  <c r="H12" i="1"/>
  <c r="H47" i="1" s="1"/>
  <c r="J12" i="1"/>
  <c r="J47" i="1" s="1"/>
  <c r="K12" i="1"/>
  <c r="K47" i="1" s="1"/>
  <c r="J52" i="1" s="1"/>
  <c r="N12" i="1" l="1"/>
  <c r="N47" i="1" s="1"/>
  <c r="I12" i="1"/>
  <c r="I47" i="1" s="1"/>
  <c r="O12" i="1" l="1"/>
  <c r="X16" i="1" l="1"/>
  <c r="O47" i="1"/>
  <c r="X48" i="1"/>
  <c r="V48" i="1" l="1"/>
  <c r="J53" i="1" s="1"/>
</calcChain>
</file>

<file path=xl/sharedStrings.xml><?xml version="1.0" encoding="utf-8"?>
<sst xmlns="http://schemas.openxmlformats.org/spreadsheetml/2006/main" count="113" uniqueCount="91">
  <si>
    <t>Amount</t>
  </si>
  <si>
    <t>PAYMENT NOTE No.</t>
  </si>
  <si>
    <t>UTR</t>
  </si>
  <si>
    <t>SD (5%)</t>
  </si>
  <si>
    <t>Advance paid</t>
  </si>
  <si>
    <t>Balance Payable Amount Rs. -</t>
  </si>
  <si>
    <t>Total Paid Amount Rs. -</t>
  </si>
  <si>
    <t>OHT Construction work</t>
  </si>
  <si>
    <t>Jhabarpur Randawalui Village OHT Construction work</t>
  </si>
  <si>
    <t>Gurtez Infrabuild LLP</t>
  </si>
  <si>
    <t>Simarthi Village OHT Construction work</t>
  </si>
  <si>
    <t>RIUP23/1187</t>
  </si>
  <si>
    <t>26-07-2023 NEFT/AXISP00409381202/RIUP23/1187/GURTEZ INFRABUI 392000.00</t>
  </si>
  <si>
    <t xml:space="preserve"> MANDLA Village OHT Construction work</t>
  </si>
  <si>
    <t>RIUP23/1326</t>
  </si>
  <si>
    <t>01-08-2023 NEFT/AXISP00411721250/RIUP23/1326/GURUTEZ INFRABU 196000.00</t>
  </si>
  <si>
    <t>RIUP23/1380</t>
  </si>
  <si>
    <t>04-08-2023 NEFT/AXISP00412804464/RIUP23/1380/GURTEZ INFRABUI ₹ 1,96,000.00</t>
  </si>
  <si>
    <t>14-08-2023 NEFT/AXISP00415803577/RIUP23/1529/GURTEZ INFRABUI ₹ 4,90,000.00</t>
  </si>
  <si>
    <t>RIUP23/1529</t>
  </si>
  <si>
    <t>18-08-2023 NEFT/AXISP00416613497/RIUP23/1593/GURTEZ INFRABUI 166526.00</t>
  </si>
  <si>
    <t>RIUP23/1690</t>
  </si>
  <si>
    <t>GST release Note</t>
  </si>
  <si>
    <t>RIUP23/1593</t>
  </si>
  <si>
    <t>GST Release note</t>
  </si>
  <si>
    <t>25-08-2023 NEFT/AXISP00418296986/RIUP23/1690/GURTEZ INFRABUILD/ICIC0001588 149262.00</t>
  </si>
  <si>
    <t>GST Release Note</t>
  </si>
  <si>
    <t>RIUP23/2277</t>
  </si>
  <si>
    <t>03-10-2023 NEFT/AXISP00430209784/RIUP23/2277/GURTEZ INFRABUILD/ICIC0001588 70166.00</t>
  </si>
  <si>
    <t>03-10-2023 NEFT/AXISP00430209785/RIUP23/2280/GURTEZ INFRABUILD/ICIC0001588 102060.00</t>
  </si>
  <si>
    <t>03-10-2023 NEFT/AXISP00430209786/RIUP23/2281/GURTEZ INFRABUILD/ICIC0001588 37310.00</t>
  </si>
  <si>
    <t>17-10-2023 NEFT/AXISP00435088300/RIUP23/2278/GURTEZ INFRABUILD/ICIC0001588 52920.00</t>
  </si>
  <si>
    <t>17-10-2023 NEFT/AXISP00435088301/RIUP23/2279/GURTEZ INFRABUILD/ICIC0001588 66825.00</t>
  </si>
  <si>
    <t>10-11-2023 NEFT/AXISP00443237224/RIUP23/3223/GURTEZ INFRABUILD/ICIC0001588 147000.00</t>
  </si>
  <si>
    <t>RIUP23/3223</t>
  </si>
  <si>
    <t>RIUP23/2278</t>
  </si>
  <si>
    <t>10-11-2023 NEFT/AXISP00443237225/RIUP23/3224/GURTEZ INFRABUILD/ICIC0001588 147000.00</t>
  </si>
  <si>
    <t>RIUP23/2279</t>
  </si>
  <si>
    <t>RIUP23/3324</t>
  </si>
  <si>
    <t>10-11-2023 NEFT/AXISP00443237223/RIUP23/3222/GURTEZ INFRABUILD/ICIC0001588 147000.00</t>
  </si>
  <si>
    <t>06-12-2023 NEFT/AXISP00449987149/RIUP23/3453/GURTEZ INFRABUILD/ICIC0001588 215526.00</t>
  </si>
  <si>
    <t>RIUP23/3222</t>
  </si>
  <si>
    <t>RIUP23/3453</t>
  </si>
  <si>
    <t>RIUP23/2280</t>
  </si>
  <si>
    <t>RIUP23/2281</t>
  </si>
  <si>
    <t>22-12-2023 NEFT/AXISP00455032162/RIUP23/3786/GURTEZ INFRABUILD/ICIC0001588 70166.00</t>
  </si>
  <si>
    <t>Updated  on</t>
  </si>
  <si>
    <t>22-12-2023 NEFT/AXISP00454984303/RIUP23/3452/GURTEZ INFRABUILD/ICIC0001588 198262.00</t>
  </si>
  <si>
    <t>31-03-2024 NEFT/AXISP00486642368/RIUP23/5289/GURTEZ INFRABUILD/ICIC0001588 300000.00</t>
  </si>
  <si>
    <t>31-03-2024 NEFT/AXISP00486642369/RIUP23/3953/GURTEZINFRABUILD/ICIC0001588 66825.00</t>
  </si>
  <si>
    <t>22-03-2024 NEFT/AXISP00483612639/RIUP23/4678/GURTEZ INFRABUILD/ICIC0001588 251860.00</t>
  </si>
  <si>
    <t>29-03-2024 NEFT/AXISP00485676701/RIUP23/5304/GURTEZ INFRABUILD/ICIC0001588 52920.00</t>
  </si>
  <si>
    <t>24-05-2024 NEFT/AXISP00502672907/RIUP24/0485/GURTEZ INFRABUILD/ICIC0001588 230175.00</t>
  </si>
  <si>
    <t>24-05-2024 NEFT/AXISP00502672908/RIUP24/0226/GURTEZ INFRABUILD/ICIC0001588 66825.00</t>
  </si>
  <si>
    <t>Total Hold amt</t>
  </si>
  <si>
    <t>GST pending</t>
  </si>
  <si>
    <t>ADV/Surplus</t>
  </si>
  <si>
    <t>16-07-2024 NEFT/AXISP00519021112/RIUP24/0484/GURTEZ INFRABUILD/ICIC0001588 362526.00</t>
  </si>
  <si>
    <t>16-07-2024 NEFT/AXISP00519021665/RIUP24/0904/GURTEZ INFRABUILD/ICIC0001588 44550.00</t>
  </si>
  <si>
    <t>16-07-2024 NEFT/AXISP00519021664/RIUP24/0975/GURTEZ INFRABUILD/ICIC0001588 345262.00</t>
  </si>
  <si>
    <t>No Work</t>
  </si>
  <si>
    <t>03-08-2024 NEFT/AXISP00524511268/RIUP24/1098/GURTEZ INFRABUILD/ICIC0001588 250000.00</t>
  </si>
  <si>
    <t xml:space="preserve">22-12-2023 NEFT/AXISP00454984302/RIUP23/3787/GURTEZ INFRABUILD/ICIC0001588 52920.00 </t>
  </si>
  <si>
    <t>03-08-2024 NEFT/AXISP00524511260/RIUP24/0668/GURTEZ INFRABUILD/ICIC0001588 70166.00</t>
  </si>
  <si>
    <t>26-07-2024 NEFT/AXISP00521556649/RIUP24/1216/GURTEZ INFRABUILD/ICIC0001588 66825.00</t>
  </si>
  <si>
    <t>Updated On 26-08-2024 ( By Vikash )</t>
  </si>
  <si>
    <t>Nil</t>
  </si>
  <si>
    <t>Tajpur village  - OHT work</t>
  </si>
  <si>
    <t>Subcontractor:</t>
  </si>
  <si>
    <t>State:</t>
  </si>
  <si>
    <t>District:</t>
  </si>
  <si>
    <t>Block:</t>
  </si>
  <si>
    <t>Uttar Pradesh</t>
  </si>
  <si>
    <t>Muzaffarnagar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</si>
  <si>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</si>
  <si>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</si>
  <si>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</si>
  <si>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</si>
  <si>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</si>
  <si>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</si>
  <si>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</si>
  <si>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</si>
  <si>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</si>
  <si>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</si>
  <si>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</si>
  <si>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</si>
  <si>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</si>
  <si>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</si>
  <si>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Total_Amount</t>
  </si>
  <si>
    <t>Payment_Amount</t>
  </si>
  <si>
    <t>TDS_Payment_Amount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</si>
</sst>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9"/>
      <color rgb="FF333333"/>
      <name val="Verdana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FF0000"/>
      <name val="Comic Sans MS"/>
      <family val="4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0">
    <xf numFmtId="0" fontId="0" fillId="0" borderId="0" xfId="0"/>
    <xf numFmtId="43" fontId="3" fillId="2" borderId="0" xfId="1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43" fontId="5" fillId="2" borderId="5" xfId="1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4" fontId="2" fillId="2" borderId="0" xfId="1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14" fontId="3" fillId="2" borderId="3" xfId="1" applyNumberFormat="1" applyFont="1" applyFill="1" applyBorder="1" applyAlignment="1">
      <alignment horizontal="center" vertical="center"/>
    </xf>
    <xf numFmtId="14" fontId="3" fillId="3" borderId="6" xfId="1" applyNumberFormat="1" applyFont="1" applyFill="1" applyBorder="1" applyAlignment="1">
      <alignment horizontal="center" vertical="center"/>
    </xf>
    <xf numFmtId="14" fontId="3" fillId="2" borderId="2" xfId="1" applyNumberFormat="1" applyFont="1" applyFill="1" applyBorder="1" applyAlignment="1">
      <alignment horizontal="center" vertical="center"/>
    </xf>
    <xf numFmtId="14" fontId="3" fillId="3" borderId="2" xfId="1" applyNumberFormat="1" applyFont="1" applyFill="1" applyBorder="1" applyAlignment="1">
      <alignment horizontal="center" vertical="center"/>
    </xf>
    <xf numFmtId="14" fontId="3" fillId="2" borderId="4" xfId="1" applyNumberFormat="1" applyFont="1" applyFill="1" applyBorder="1" applyAlignment="1">
      <alignment horizontal="center" vertical="center"/>
    </xf>
    <xf numFmtId="14" fontId="3" fillId="2" borderId="5" xfId="1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3" fontId="0" fillId="2" borderId="0" xfId="1" applyNumberFormat="1" applyFont="1" applyFill="1" applyBorder="1" applyAlignment="1">
      <alignment horizontal="center" vertical="center"/>
    </xf>
    <xf numFmtId="0" fontId="2" fillId="2" borderId="0" xfId="1" applyNumberFormat="1" applyFont="1" applyFill="1" applyBorder="1" applyAlignment="1">
      <alignment horizontal="center" vertical="center"/>
    </xf>
    <xf numFmtId="43" fontId="0" fillId="2" borderId="0" xfId="1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43" fontId="3" fillId="2" borderId="3" xfId="1" applyNumberFormat="1" applyFont="1" applyFill="1" applyBorder="1" applyAlignment="1">
      <alignment horizontal="center" vertical="center"/>
    </xf>
    <xf numFmtId="0" fontId="3" fillId="2" borderId="3" xfId="1" applyNumberFormat="1" applyFont="1" applyFill="1" applyBorder="1" applyAlignment="1">
      <alignment horizontal="center" vertical="center"/>
    </xf>
    <xf numFmtId="9" fontId="3" fillId="2" borderId="3" xfId="1" applyNumberFormat="1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43" fontId="3" fillId="3" borderId="6" xfId="1" applyNumberFormat="1" applyFont="1" applyFill="1" applyBorder="1" applyAlignment="1">
      <alignment horizontal="center" vertical="center"/>
    </xf>
    <xf numFmtId="0" fontId="3" fillId="3" borderId="6" xfId="1" applyNumberFormat="1" applyFont="1" applyFill="1" applyBorder="1" applyAlignment="1">
      <alignment horizontal="center" vertical="center"/>
    </xf>
    <xf numFmtId="9" fontId="3" fillId="3" borderId="6" xfId="1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43" fontId="3" fillId="2" borderId="2" xfId="1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2" borderId="2" xfId="1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43" fontId="3" fillId="3" borderId="2" xfId="1" applyNumberFormat="1" applyFont="1" applyFill="1" applyBorder="1" applyAlignment="1">
      <alignment horizontal="center" vertical="center"/>
    </xf>
    <xf numFmtId="0" fontId="3" fillId="3" borderId="2" xfId="1" applyNumberFormat="1" applyFont="1" applyFill="1" applyBorder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43" fontId="3" fillId="2" borderId="4" xfId="1" applyNumberFormat="1" applyFont="1" applyFill="1" applyBorder="1" applyAlignment="1">
      <alignment horizontal="center" vertical="center"/>
    </xf>
    <xf numFmtId="0" fontId="3" fillId="2" borderId="4" xfId="1" applyNumberFormat="1" applyFont="1" applyFill="1" applyBorder="1" applyAlignment="1">
      <alignment horizontal="center" vertical="center"/>
    </xf>
    <xf numFmtId="43" fontId="3" fillId="2" borderId="5" xfId="1" applyNumberFormat="1" applyFont="1" applyFill="1" applyBorder="1" applyAlignment="1">
      <alignment horizontal="center" vertical="center"/>
    </xf>
    <xf numFmtId="0" fontId="3" fillId="2" borderId="5" xfId="1" applyNumberFormat="1" applyFont="1" applyFill="1" applyBorder="1" applyAlignment="1">
      <alignment horizontal="center" vertical="center"/>
    </xf>
    <xf numFmtId="43" fontId="5" fillId="2" borderId="2" xfId="1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4" fontId="3" fillId="2" borderId="0" xfId="0" applyNumberFormat="1" applyFont="1" applyFill="1" applyAlignment="1">
      <alignment horizontal="center" vertical="center"/>
    </xf>
    <xf numFmtId="43" fontId="0" fillId="2" borderId="0" xfId="0" applyNumberFormat="1" applyFill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14" fontId="3" fillId="2" borderId="0" xfId="1" applyNumberFormat="1" applyFont="1" applyFill="1" applyBorder="1" applyAlignment="1">
      <alignment horizontal="center" vertical="center"/>
    </xf>
    <xf numFmtId="0" fontId="3" fillId="2" borderId="0" xfId="1" applyNumberFormat="1" applyFont="1" applyFill="1" applyBorder="1" applyAlignment="1">
      <alignment horizontal="center" vertical="center"/>
    </xf>
    <xf numFmtId="43" fontId="3" fillId="2" borderId="9" xfId="1" applyNumberFormat="1" applyFont="1" applyFill="1" applyBorder="1" applyAlignment="1">
      <alignment horizontal="center" vertical="center"/>
    </xf>
    <xf numFmtId="43" fontId="3" fillId="2" borderId="6" xfId="1" applyNumberFormat="1" applyFont="1" applyFill="1" applyBorder="1" applyAlignment="1">
      <alignment horizontal="center" vertical="center"/>
    </xf>
    <xf numFmtId="14" fontId="3" fillId="2" borderId="6" xfId="1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43" fontId="5" fillId="2" borderId="3" xfId="1" applyNumberFormat="1" applyFont="1" applyFill="1" applyBorder="1" applyAlignment="1">
      <alignment horizontal="center" vertical="center"/>
    </xf>
    <xf numFmtId="43" fontId="10" fillId="5" borderId="2" xfId="1" applyNumberFormat="1" applyFont="1" applyFill="1" applyBorder="1" applyAlignment="1">
      <alignment horizontal="center" vertical="center"/>
    </xf>
    <xf numFmtId="43" fontId="10" fillId="5" borderId="4" xfId="1" applyNumberFormat="1" applyFont="1" applyFill="1" applyBorder="1" applyAlignment="1">
      <alignment horizontal="center" vertical="center"/>
    </xf>
    <xf numFmtId="43" fontId="6" fillId="2" borderId="15" xfId="1" applyNumberFormat="1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43" fontId="3" fillId="0" borderId="5" xfId="1" applyNumberFormat="1" applyFont="1" applyFill="1" applyBorder="1" applyAlignment="1">
      <alignment horizontal="center" vertical="center"/>
    </xf>
    <xf numFmtId="43" fontId="3" fillId="0" borderId="3" xfId="1" applyNumberFormat="1" applyFont="1" applyFill="1" applyBorder="1" applyAlignment="1">
      <alignment horizontal="center" vertical="center"/>
    </xf>
    <xf numFmtId="43" fontId="3" fillId="0" borderId="0" xfId="1" applyNumberFormat="1" applyFont="1" applyFill="1" applyBorder="1" applyAlignment="1">
      <alignment horizontal="center" vertical="center"/>
    </xf>
    <xf numFmtId="0" fontId="6" fillId="0" borderId="0" xfId="0" applyFont="1"/>
    <xf numFmtId="0" fontId="0" fillId="0" borderId="0" xfId="0" applyFont="1"/>
    <xf numFmtId="0" fontId="6" fillId="2" borderId="5" xfId="0" applyFont="1" applyFill="1" applyBorder="1" applyAlignment="1">
      <alignment vertical="center"/>
    </xf>
    <xf numFmtId="0" fontId="6" fillId="2" borderId="5" xfId="0" applyFont="1" applyFill="1" applyBorder="1" applyAlignment="1">
      <alignment horizontal="center" vertical="center" wrapText="1"/>
    </xf>
    <xf numFmtId="14" fontId="6" fillId="2" borderId="5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43" fontId="11" fillId="2" borderId="5" xfId="1" applyNumberFormat="1" applyFont="1" applyFill="1" applyBorder="1" applyAlignment="1">
      <alignment horizontal="center" vertical="center"/>
    </xf>
    <xf numFmtId="43" fontId="6" fillId="2" borderId="5" xfId="1" applyNumberFormat="1" applyFont="1" applyFill="1" applyBorder="1" applyAlignment="1">
      <alignment horizontal="center" vertical="center"/>
    </xf>
    <xf numFmtId="43" fontId="6" fillId="2" borderId="13" xfId="1" applyNumberFormat="1" applyFont="1" applyFill="1" applyBorder="1" applyAlignment="1">
      <alignment horizontal="center" vertical="center"/>
    </xf>
    <xf numFmtId="43" fontId="6" fillId="2" borderId="8" xfId="1" applyNumberFormat="1" applyFont="1" applyFill="1" applyBorder="1" applyAlignment="1">
      <alignment horizontal="center" vertical="center"/>
    </xf>
    <xf numFmtId="43" fontId="6" fillId="2" borderId="14" xfId="1" applyNumberFormat="1" applyFont="1" applyFill="1" applyBorder="1" applyAlignment="1">
      <alignment horizontal="center" vertical="center"/>
    </xf>
    <xf numFmtId="43" fontId="9" fillId="2" borderId="10" xfId="1" applyNumberFormat="1" applyFont="1" applyFill="1" applyBorder="1" applyAlignment="1">
      <alignment horizontal="center" vertical="center"/>
    </xf>
    <xf numFmtId="43" fontId="9" fillId="2" borderId="11" xfId="1" applyNumberFormat="1" applyFont="1" applyFill="1" applyBorder="1" applyAlignment="1">
      <alignment horizontal="center" vertical="center"/>
    </xf>
    <xf numFmtId="43" fontId="9" fillId="2" borderId="12" xfId="1" applyNumberFormat="1" applyFont="1" applyFill="1" applyBorder="1" applyAlignment="1">
      <alignment horizontal="center" vertical="center"/>
    </xf>
    <xf numFmtId="43" fontId="6" fillId="2" borderId="7" xfId="0" applyNumberFormat="1" applyFont="1" applyFill="1" applyBorder="1" applyAlignment="1">
      <alignment horizontal="center" vertical="center"/>
    </xf>
    <xf numFmtId="43" fontId="6" fillId="2" borderId="14" xfId="0" applyNumberFormat="1" applyFont="1" applyFill="1" applyBorder="1" applyAlignment="1">
      <alignment horizontal="center" vertical="center"/>
    </xf>
    <xf numFmtId="43" fontId="6" fillId="2" borderId="17" xfId="0" applyNumberFormat="1" applyFont="1" applyFill="1" applyBorder="1" applyAlignment="1">
      <alignment horizontal="center" vertical="center"/>
    </xf>
    <xf numFmtId="43" fontId="6" fillId="2" borderId="18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D54"/>
  <sheetViews>
    <sheetView tabSelected="1" topLeftCell="H1" zoomScaleNormal="100" zoomScaleSheetLayoutView="85" workbookViewId="0">
      <pane ySplit="5" topLeftCell="A6" activePane="bottomLeft" state="frozen"/>
      <selection pane="bottomLeft" activeCell="R5" sqref="R5:S5"/>
    </sheetView>
  </sheetViews>
  <sheetFormatPr defaultColWidth="9" defaultRowHeight="30" customHeight="1" x14ac:dyDescent="0.25"/>
  <cols>
    <col min="1" max="1" width="14.85546875" style="65" customWidth="1"/>
    <col min="2" max="2" width="32.140625" style="19" customWidth="1"/>
    <col min="3" max="3" width="13.42578125" style="10" bestFit="1" customWidth="1"/>
    <col min="4" max="4" width="11.5703125" style="19" bestFit="1" customWidth="1"/>
    <col min="5" max="5" width="15" style="19" bestFit="1" customWidth="1"/>
    <col min="6" max="6" width="13.28515625" style="19" customWidth="1"/>
    <col min="7" max="7" width="15" style="19" bestFit="1" customWidth="1"/>
    <col min="8" max="8" width="14.7109375" style="24" customWidth="1"/>
    <col min="9" max="9" width="17.28515625" style="24" customWidth="1"/>
    <col min="10" max="10" width="12" style="19" bestFit="1" customWidth="1"/>
    <col min="11" max="11" width="14.42578125" style="19" bestFit="1" customWidth="1"/>
    <col min="12" max="12" width="10.42578125" style="19" customWidth="1"/>
    <col min="13" max="13" width="12.140625" style="19" customWidth="1"/>
    <col min="14" max="14" width="14.85546875" style="19" customWidth="1"/>
    <col min="15" max="15" width="15.85546875" style="19" bestFit="1" customWidth="1"/>
    <col min="16" max="16" width="11.28515625" style="19" customWidth="1"/>
    <col min="17" max="17" width="10.42578125" style="19" customWidth="1"/>
    <col min="18" max="18" width="11.85546875" style="19" customWidth="1"/>
    <col min="19" max="19" width="18.85546875" style="19" customWidth="1"/>
    <col min="20" max="21" width="16.5703125" style="19" customWidth="1"/>
    <col min="22" max="22" width="19.7109375" style="19" bestFit="1" customWidth="1"/>
    <col min="23" max="23" width="102.28515625" style="19" customWidth="1"/>
    <col min="24" max="24" width="15" style="19" bestFit="1" customWidth="1"/>
    <col min="25" max="25" width="11.7109375" style="19" bestFit="1" customWidth="1"/>
    <col min="26" max="16384" width="9" style="19"/>
  </cols>
  <sheetData>
    <row r="1" spans="1:82" ht="30" customHeight="1" x14ac:dyDescent="0.25">
      <c r="A1" s="72" t="s">
        <v>68</v>
      </c>
      <c r="B1" s="20" t="s">
        <v>9</v>
      </c>
      <c r="E1" s="21"/>
      <c r="F1" s="21"/>
      <c r="G1" s="21"/>
      <c r="H1" s="22"/>
      <c r="I1" s="22"/>
    </row>
    <row r="2" spans="1:82" ht="30" customHeight="1" x14ac:dyDescent="0.25">
      <c r="A2" s="72" t="s">
        <v>69</v>
      </c>
      <c r="B2" s="73" t="s">
        <v>72</v>
      </c>
      <c r="C2" s="11"/>
      <c r="D2" s="23" t="s">
        <v>9</v>
      </c>
      <c r="G2" s="1"/>
      <c r="I2" s="1" t="s">
        <v>7</v>
      </c>
      <c r="J2" s="25"/>
      <c r="K2" s="25"/>
      <c r="L2" s="25"/>
      <c r="M2" s="25"/>
      <c r="N2" s="25"/>
      <c r="O2" s="25" t="s">
        <v>46</v>
      </c>
      <c r="P2" s="50">
        <v>45447</v>
      </c>
      <c r="Q2" s="25"/>
      <c r="R2" s="25"/>
      <c r="S2" s="25"/>
      <c r="T2" s="25"/>
      <c r="U2" s="25"/>
    </row>
    <row r="3" spans="1:82" ht="30" customHeight="1" thickBot="1" x14ac:dyDescent="0.3">
      <c r="A3" s="72" t="s">
        <v>70</v>
      </c>
      <c r="B3" s="73" t="s">
        <v>73</v>
      </c>
      <c r="C3" s="11"/>
      <c r="D3" s="23"/>
      <c r="G3" s="1"/>
      <c r="I3" s="1"/>
      <c r="J3" s="25"/>
      <c r="K3" s="25"/>
      <c r="L3" s="25"/>
      <c r="M3" s="25"/>
      <c r="N3" s="25"/>
      <c r="O3" s="25"/>
      <c r="P3" s="50"/>
      <c r="Q3" s="25"/>
      <c r="R3" s="25"/>
      <c r="S3" s="25"/>
      <c r="T3" s="25"/>
      <c r="U3" s="25"/>
    </row>
    <row r="4" spans="1:82" ht="30" customHeight="1" thickBot="1" x14ac:dyDescent="0.3">
      <c r="A4" s="72" t="s">
        <v>71</v>
      </c>
      <c r="B4" s="73" t="s">
        <v>73</v>
      </c>
      <c r="C4" s="12"/>
      <c r="D4" s="26"/>
      <c r="E4" s="26"/>
      <c r="F4" s="25"/>
      <c r="G4" s="25"/>
      <c r="H4" s="1"/>
      <c r="I4" s="1"/>
      <c r="J4" s="25"/>
      <c r="K4" s="25"/>
      <c r="L4" s="25"/>
      <c r="M4" s="25"/>
      <c r="Q4" s="25"/>
      <c r="R4" s="27"/>
      <c r="S4" s="27"/>
      <c r="T4" s="27"/>
      <c r="U4" s="27"/>
      <c r="V4" s="27"/>
      <c r="W4" s="27"/>
    </row>
    <row r="5" spans="1:82" ht="30" customHeight="1" x14ac:dyDescent="0.25">
      <c r="A5" s="74" t="s">
        <v>74</v>
      </c>
      <c r="B5" s="75" t="s">
        <v>75</v>
      </c>
      <c r="C5" s="76" t="s">
        <v>76</v>
      </c>
      <c r="D5" s="77" t="s">
        <v>77</v>
      </c>
      <c r="E5" s="75" t="s">
        <v>78</v>
      </c>
      <c r="F5" s="75" t="s">
        <v>79</v>
      </c>
      <c r="G5" s="77" t="s">
        <v>80</v>
      </c>
      <c r="H5" s="78" t="s">
        <v>81</v>
      </c>
      <c r="I5" s="79" t="s">
        <v>0</v>
      </c>
      <c r="J5" s="75" t="s">
        <v>82</v>
      </c>
      <c r="K5" s="75" t="s">
        <v>83</v>
      </c>
      <c r="L5" s="75" t="s">
        <v>84</v>
      </c>
      <c r="M5" s="75" t="s">
        <v>85</v>
      </c>
      <c r="N5" s="75" t="s">
        <v>86</v>
      </c>
      <c r="O5" s="75" t="s">
        <v>87</v>
      </c>
      <c r="P5" s="3"/>
      <c r="Q5" s="3" t="s">
        <v>1</v>
      </c>
      <c r="R5" s="75" t="s">
        <v>89</v>
      </c>
      <c r="S5" s="75" t="s">
        <v>90</v>
      </c>
      <c r="T5" s="3" t="s">
        <v>3</v>
      </c>
      <c r="U5" s="3" t="s">
        <v>4</v>
      </c>
      <c r="V5" s="75" t="s">
        <v>88</v>
      </c>
      <c r="W5" s="75" t="s">
        <v>2</v>
      </c>
    </row>
    <row r="6" spans="1:82" ht="30" customHeight="1" thickBot="1" x14ac:dyDescent="0.3">
      <c r="A6" s="66"/>
      <c r="B6" s="28"/>
      <c r="C6" s="13"/>
      <c r="D6" s="29"/>
      <c r="E6" s="28"/>
      <c r="F6" s="28"/>
      <c r="G6" s="28"/>
      <c r="H6" s="30">
        <v>0.18</v>
      </c>
      <c r="I6" s="28"/>
      <c r="J6" s="30">
        <v>0.02</v>
      </c>
      <c r="K6" s="30">
        <v>0.05</v>
      </c>
      <c r="L6" s="30">
        <v>0</v>
      </c>
      <c r="M6" s="30">
        <v>0.1</v>
      </c>
      <c r="N6" s="30">
        <v>0.18</v>
      </c>
      <c r="O6" s="28"/>
      <c r="P6" s="7"/>
      <c r="Q6" s="28"/>
      <c r="R6" s="28"/>
      <c r="S6" s="30">
        <v>0.01</v>
      </c>
      <c r="T6" s="30">
        <v>0.05</v>
      </c>
      <c r="U6" s="28"/>
      <c r="V6" s="28"/>
      <c r="W6" s="28"/>
    </row>
    <row r="7" spans="1:82" s="35" customFormat="1" ht="30" customHeight="1" x14ac:dyDescent="0.25">
      <c r="A7" s="31">
        <v>58507</v>
      </c>
      <c r="B7" s="32"/>
      <c r="C7" s="14"/>
      <c r="D7" s="33"/>
      <c r="E7" s="32"/>
      <c r="F7" s="32"/>
      <c r="G7" s="32"/>
      <c r="H7" s="34"/>
      <c r="I7" s="32"/>
      <c r="J7" s="34"/>
      <c r="K7" s="34"/>
      <c r="L7" s="34"/>
      <c r="M7" s="34"/>
      <c r="N7" s="34"/>
      <c r="O7" s="32"/>
      <c r="P7" s="6">
        <f>A7</f>
        <v>58507</v>
      </c>
      <c r="Q7" s="32"/>
      <c r="R7" s="32"/>
      <c r="S7" s="34"/>
      <c r="T7" s="34"/>
      <c r="U7" s="32"/>
      <c r="V7" s="32"/>
      <c r="W7" s="32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</row>
    <row r="8" spans="1:82" ht="30" customHeight="1" x14ac:dyDescent="0.25">
      <c r="A8" s="68"/>
      <c r="B8" s="64" t="s">
        <v>60</v>
      </c>
      <c r="C8" s="9"/>
      <c r="D8" s="8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5"/>
      <c r="Q8" s="37"/>
      <c r="R8" s="37"/>
      <c r="S8" s="37"/>
      <c r="T8" s="37"/>
      <c r="U8" s="37"/>
      <c r="V8" s="37"/>
      <c r="W8" s="38"/>
    </row>
    <row r="9" spans="1:82" ht="30" customHeight="1" x14ac:dyDescent="0.25">
      <c r="A9" s="68"/>
      <c r="B9" s="2"/>
      <c r="C9" s="9"/>
      <c r="D9" s="8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5"/>
      <c r="Q9" s="37"/>
      <c r="R9" s="37"/>
      <c r="S9" s="37"/>
      <c r="T9" s="37"/>
      <c r="U9" s="37"/>
      <c r="V9" s="37"/>
      <c r="W9" s="38"/>
    </row>
    <row r="10" spans="1:82" ht="30" customHeight="1" x14ac:dyDescent="0.25">
      <c r="A10" s="68"/>
      <c r="B10" s="37"/>
      <c r="C10" s="15"/>
      <c r="D10" s="39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5"/>
      <c r="Q10" s="37"/>
      <c r="R10" s="37"/>
      <c r="S10" s="37"/>
      <c r="T10" s="37"/>
      <c r="U10" s="37"/>
      <c r="V10" s="37"/>
      <c r="W10" s="38"/>
    </row>
    <row r="11" spans="1:82" s="35" customFormat="1" ht="30" customHeight="1" x14ac:dyDescent="0.25">
      <c r="A11" s="31">
        <v>58506</v>
      </c>
      <c r="B11" s="32"/>
      <c r="C11" s="14"/>
      <c r="D11" s="33"/>
      <c r="E11" s="32"/>
      <c r="F11" s="32"/>
      <c r="G11" s="32"/>
      <c r="H11" s="34"/>
      <c r="I11" s="32"/>
      <c r="J11" s="34"/>
      <c r="K11" s="34"/>
      <c r="L11" s="34"/>
      <c r="M11" s="34"/>
      <c r="N11" s="34"/>
      <c r="O11" s="32"/>
      <c r="P11" s="6">
        <f>A11</f>
        <v>58506</v>
      </c>
      <c r="Q11" s="32"/>
      <c r="R11" s="32"/>
      <c r="S11" s="34"/>
      <c r="T11" s="34"/>
      <c r="U11" s="32"/>
      <c r="V11" s="32"/>
      <c r="W11" s="32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</row>
    <row r="12" spans="1:82" ht="30" customHeight="1" x14ac:dyDescent="0.25">
      <c r="A12" s="67">
        <v>58506</v>
      </c>
      <c r="B12" s="2" t="s">
        <v>8</v>
      </c>
      <c r="C12" s="9">
        <v>45143</v>
      </c>
      <c r="D12" s="8">
        <v>2</v>
      </c>
      <c r="E12" s="37">
        <v>567000</v>
      </c>
      <c r="F12" s="37">
        <v>0</v>
      </c>
      <c r="G12" s="37">
        <f>ROUND(E12-F12,)</f>
        <v>567000</v>
      </c>
      <c r="H12" s="37">
        <f>ROUND(G12*$H$6,0)</f>
        <v>102060</v>
      </c>
      <c r="I12" s="37">
        <f>G12+H12</f>
        <v>669060</v>
      </c>
      <c r="J12" s="37">
        <f>ROUND(G12*$J$6,)</f>
        <v>11340</v>
      </c>
      <c r="K12" s="37">
        <f>ROUND(G12*$K$6,)</f>
        <v>28350</v>
      </c>
      <c r="L12" s="37">
        <f>ROUND(G12*$L$6,)</f>
        <v>0</v>
      </c>
      <c r="M12" s="37">
        <v>0</v>
      </c>
      <c r="N12" s="60">
        <f>H12</f>
        <v>102060</v>
      </c>
      <c r="O12" s="37">
        <f>ROUND(I12-SUM(J12:N12),0)</f>
        <v>527310</v>
      </c>
      <c r="P12" s="5"/>
      <c r="Q12" s="37" t="s">
        <v>19</v>
      </c>
      <c r="R12" s="37">
        <v>500000</v>
      </c>
      <c r="S12" s="37">
        <f>R12*$S$6</f>
        <v>5000</v>
      </c>
      <c r="T12" s="37">
        <v>0</v>
      </c>
      <c r="U12" s="37">
        <v>0</v>
      </c>
      <c r="V12" s="37">
        <v>490000</v>
      </c>
      <c r="W12" s="38" t="s">
        <v>18</v>
      </c>
    </row>
    <row r="13" spans="1:82" ht="30" customHeight="1" x14ac:dyDescent="0.25">
      <c r="A13" s="67">
        <v>58506</v>
      </c>
      <c r="B13" s="2" t="s">
        <v>22</v>
      </c>
      <c r="C13" s="9">
        <v>45184</v>
      </c>
      <c r="D13" s="8">
        <v>2</v>
      </c>
      <c r="E13" s="37">
        <v>102060</v>
      </c>
      <c r="F13" s="37"/>
      <c r="G13" s="37">
        <f>ROUND(E13-F13,)</f>
        <v>102060</v>
      </c>
      <c r="H13" s="37"/>
      <c r="I13" s="37">
        <f>G13+H13</f>
        <v>102060</v>
      </c>
      <c r="J13" s="37"/>
      <c r="K13" s="37"/>
      <c r="L13" s="37"/>
      <c r="M13" s="37"/>
      <c r="N13" s="37"/>
      <c r="O13" s="60">
        <f>ROUND(I13-SUM(J13:N13),0)</f>
        <v>102060</v>
      </c>
      <c r="P13" s="5"/>
      <c r="Q13" s="37" t="s">
        <v>43</v>
      </c>
      <c r="R13" s="37">
        <v>102060</v>
      </c>
      <c r="S13" s="37">
        <v>0</v>
      </c>
      <c r="T13" s="37">
        <v>0</v>
      </c>
      <c r="U13" s="37">
        <v>0</v>
      </c>
      <c r="V13" s="37">
        <f t="shared" ref="V13:V14" si="0">R13-S13</f>
        <v>102060</v>
      </c>
      <c r="W13" s="38" t="s">
        <v>29</v>
      </c>
    </row>
    <row r="14" spans="1:82" ht="30" customHeight="1" x14ac:dyDescent="0.25">
      <c r="A14" s="67">
        <v>58506</v>
      </c>
      <c r="B14" s="2" t="s">
        <v>8</v>
      </c>
      <c r="C14" s="9">
        <v>45484</v>
      </c>
      <c r="D14" s="8">
        <v>9</v>
      </c>
      <c r="E14" s="37">
        <v>567000</v>
      </c>
      <c r="F14" s="37">
        <v>0</v>
      </c>
      <c r="G14" s="37">
        <f>ROUND(E14-F14,)</f>
        <v>567000</v>
      </c>
      <c r="H14" s="37">
        <f>ROUND(G14*$H$6,0)</f>
        <v>102060</v>
      </c>
      <c r="I14" s="37">
        <f>G14+H14</f>
        <v>669060</v>
      </c>
      <c r="J14" s="37">
        <f>ROUND(G14*$J$6,)</f>
        <v>11340</v>
      </c>
      <c r="K14" s="37">
        <f>ROUND(G14*$K$6,)</f>
        <v>28350</v>
      </c>
      <c r="L14" s="37">
        <f>ROUND(G14*$L$6,)</f>
        <v>0</v>
      </c>
      <c r="M14" s="37">
        <v>0</v>
      </c>
      <c r="N14" s="60">
        <f>H14</f>
        <v>102060</v>
      </c>
      <c r="O14" s="37">
        <f>ROUND(I14-SUM(J14:N14),0)</f>
        <v>527310</v>
      </c>
      <c r="P14" s="5"/>
      <c r="Q14" s="37" t="s">
        <v>44</v>
      </c>
      <c r="R14" s="37">
        <v>37310</v>
      </c>
      <c r="S14" s="37">
        <v>0</v>
      </c>
      <c r="T14" s="37">
        <v>0</v>
      </c>
      <c r="U14" s="37">
        <v>0</v>
      </c>
      <c r="V14" s="37">
        <f t="shared" si="0"/>
        <v>37310</v>
      </c>
      <c r="W14" s="38" t="s">
        <v>30</v>
      </c>
      <c r="X14" s="51"/>
    </row>
    <row r="15" spans="1:82" ht="30" customHeight="1" x14ac:dyDescent="0.25">
      <c r="A15" s="67">
        <v>58506</v>
      </c>
      <c r="B15" s="2" t="s">
        <v>22</v>
      </c>
      <c r="C15" s="9"/>
      <c r="D15" s="8">
        <v>2</v>
      </c>
      <c r="E15" s="37">
        <v>102060</v>
      </c>
      <c r="F15" s="37"/>
      <c r="G15" s="37">
        <f>ROUND(E15-F15,)</f>
        <v>102060</v>
      </c>
      <c r="H15" s="37"/>
      <c r="I15" s="37">
        <f>G15+H15</f>
        <v>102060</v>
      </c>
      <c r="J15" s="37"/>
      <c r="K15" s="37"/>
      <c r="L15" s="37"/>
      <c r="M15" s="37"/>
      <c r="N15" s="37"/>
      <c r="O15" s="60">
        <f>ROUND(I15-SUM(J15:N15),0)</f>
        <v>102060</v>
      </c>
      <c r="P15" s="52"/>
      <c r="Q15" s="37"/>
      <c r="R15" s="37"/>
      <c r="S15" s="37"/>
      <c r="T15" s="37"/>
      <c r="U15" s="37"/>
      <c r="V15" s="37">
        <v>250000</v>
      </c>
      <c r="W15" s="38" t="s">
        <v>61</v>
      </c>
      <c r="X15" s="51"/>
    </row>
    <row r="16" spans="1:82" s="35" customFormat="1" ht="30" customHeight="1" x14ac:dyDescent="0.25">
      <c r="A16" s="40">
        <v>58505</v>
      </c>
      <c r="B16" s="41"/>
      <c r="C16" s="16"/>
      <c r="D16" s="42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6">
        <f>A16</f>
        <v>58505</v>
      </c>
      <c r="Q16" s="41"/>
      <c r="R16" s="41"/>
      <c r="S16" s="41"/>
      <c r="T16" s="41"/>
      <c r="U16" s="41"/>
      <c r="V16" s="41"/>
      <c r="W16" s="40"/>
      <c r="X16" s="51">
        <f>SUM(O12:O15)-SUM(V12:V15)</f>
        <v>379370</v>
      </c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</row>
    <row r="17" spans="1:82" ht="30" customHeight="1" x14ac:dyDescent="0.25">
      <c r="A17" s="68">
        <v>58505</v>
      </c>
      <c r="B17" s="37" t="s">
        <v>10</v>
      </c>
      <c r="C17" s="15">
        <v>45143</v>
      </c>
      <c r="D17" s="39">
        <v>3</v>
      </c>
      <c r="E17" s="37">
        <v>294000</v>
      </c>
      <c r="F17" s="37">
        <v>0</v>
      </c>
      <c r="G17" s="37">
        <v>294000</v>
      </c>
      <c r="H17" s="37">
        <v>52920</v>
      </c>
      <c r="I17" s="37">
        <v>346920</v>
      </c>
      <c r="J17" s="37">
        <v>5880</v>
      </c>
      <c r="K17" s="37">
        <f>G17*5%</f>
        <v>14700</v>
      </c>
      <c r="L17" s="37">
        <v>0</v>
      </c>
      <c r="M17" s="37">
        <v>0</v>
      </c>
      <c r="N17" s="60">
        <v>52920</v>
      </c>
      <c r="O17" s="37">
        <v>273420</v>
      </c>
      <c r="P17" s="5"/>
      <c r="Q17" s="37" t="s">
        <v>11</v>
      </c>
      <c r="R17" s="37">
        <v>400000</v>
      </c>
      <c r="S17" s="37">
        <v>8000</v>
      </c>
      <c r="T17" s="37">
        <v>0</v>
      </c>
      <c r="U17" s="37">
        <v>0</v>
      </c>
      <c r="V17" s="37">
        <v>392000</v>
      </c>
      <c r="W17" s="38" t="s">
        <v>12</v>
      </c>
    </row>
    <row r="18" spans="1:82" ht="30" customHeight="1" x14ac:dyDescent="0.25">
      <c r="A18" s="68">
        <v>58505</v>
      </c>
      <c r="B18" s="2" t="s">
        <v>26</v>
      </c>
      <c r="C18" s="9">
        <v>45184</v>
      </c>
      <c r="D18" s="8">
        <v>3</v>
      </c>
      <c r="E18" s="37">
        <v>52920</v>
      </c>
      <c r="F18" s="37"/>
      <c r="G18" s="37"/>
      <c r="H18" s="37"/>
      <c r="I18" s="37"/>
      <c r="J18" s="37"/>
      <c r="K18" s="37"/>
      <c r="L18" s="37"/>
      <c r="M18" s="37"/>
      <c r="N18" s="37"/>
      <c r="O18" s="60">
        <f>E18</f>
        <v>52920</v>
      </c>
      <c r="P18" s="5"/>
      <c r="Q18" s="37" t="s">
        <v>35</v>
      </c>
      <c r="R18" s="37"/>
      <c r="S18" s="37"/>
      <c r="T18" s="37"/>
      <c r="U18" s="37"/>
      <c r="V18" s="37">
        <v>52920</v>
      </c>
      <c r="W18" s="38" t="s">
        <v>31</v>
      </c>
    </row>
    <row r="19" spans="1:82" ht="30" customHeight="1" x14ac:dyDescent="0.25">
      <c r="A19" s="68">
        <v>58505</v>
      </c>
      <c r="B19" s="2" t="s">
        <v>10</v>
      </c>
      <c r="C19" s="43">
        <v>45234</v>
      </c>
      <c r="D19" s="8">
        <v>6</v>
      </c>
      <c r="E19" s="37">
        <v>294000</v>
      </c>
      <c r="F19" s="37">
        <v>0</v>
      </c>
      <c r="G19" s="37">
        <v>294000</v>
      </c>
      <c r="H19" s="37">
        <f>G19*18%</f>
        <v>52920</v>
      </c>
      <c r="I19" s="37">
        <f>G19+H19</f>
        <v>346920</v>
      </c>
      <c r="J19" s="37">
        <f>I19*1%</f>
        <v>3469.2000000000003</v>
      </c>
      <c r="K19" s="37">
        <f>G19*5%</f>
        <v>14700</v>
      </c>
      <c r="L19" s="37">
        <v>0</v>
      </c>
      <c r="M19" s="37">
        <f>I19*10%</f>
        <v>34692</v>
      </c>
      <c r="N19" s="60">
        <f>G19*18%</f>
        <v>52920</v>
      </c>
      <c r="O19" s="37">
        <v>246960</v>
      </c>
      <c r="P19" s="5"/>
      <c r="Q19" s="37" t="s">
        <v>34</v>
      </c>
      <c r="R19" s="37"/>
      <c r="S19" s="37"/>
      <c r="T19" s="37"/>
      <c r="U19" s="37"/>
      <c r="V19" s="37">
        <v>147000</v>
      </c>
      <c r="W19" s="38" t="s">
        <v>33</v>
      </c>
    </row>
    <row r="20" spans="1:82" ht="30" customHeight="1" x14ac:dyDescent="0.25">
      <c r="A20" s="68">
        <v>58505</v>
      </c>
      <c r="B20" s="2" t="s">
        <v>22</v>
      </c>
      <c r="C20" s="9"/>
      <c r="D20" s="8">
        <v>6</v>
      </c>
      <c r="E20" s="37">
        <f>N19</f>
        <v>52920</v>
      </c>
      <c r="F20" s="37"/>
      <c r="G20" s="37"/>
      <c r="H20" s="37"/>
      <c r="I20" s="37"/>
      <c r="J20" s="37"/>
      <c r="K20" s="37"/>
      <c r="L20" s="37"/>
      <c r="M20" s="37"/>
      <c r="N20" s="37"/>
      <c r="O20" s="60">
        <f>E20</f>
        <v>52920</v>
      </c>
      <c r="P20" s="5"/>
      <c r="Q20" s="37"/>
      <c r="R20" s="37"/>
      <c r="S20" s="37"/>
      <c r="T20" s="37"/>
      <c r="U20" s="37"/>
      <c r="V20" s="37">
        <v>52920</v>
      </c>
      <c r="W20" s="49" t="s">
        <v>62</v>
      </c>
    </row>
    <row r="21" spans="1:82" ht="30" customHeight="1" x14ac:dyDescent="0.25">
      <c r="A21" s="68">
        <v>58505</v>
      </c>
      <c r="B21" s="2" t="s">
        <v>10</v>
      </c>
      <c r="C21" s="9">
        <v>45328</v>
      </c>
      <c r="D21" s="8">
        <v>10</v>
      </c>
      <c r="E21" s="37">
        <f>A17*15%</f>
        <v>8775.75</v>
      </c>
      <c r="F21" s="37"/>
      <c r="G21" s="37">
        <v>294000</v>
      </c>
      <c r="H21" s="37">
        <f>G21*18%</f>
        <v>52920</v>
      </c>
      <c r="I21" s="37">
        <f>G21+H21</f>
        <v>346920</v>
      </c>
      <c r="J21" s="37">
        <v>5880</v>
      </c>
      <c r="K21" s="37">
        <f>G21*5%</f>
        <v>14700</v>
      </c>
      <c r="L21" s="37">
        <v>0</v>
      </c>
      <c r="M21" s="37"/>
      <c r="N21" s="60">
        <f>G21*18%</f>
        <v>52920</v>
      </c>
      <c r="O21" s="37">
        <f>I21-SUM(J21:N21)</f>
        <v>273420</v>
      </c>
      <c r="P21" s="5"/>
      <c r="Q21" s="37"/>
      <c r="R21" s="37"/>
      <c r="S21" s="37"/>
      <c r="T21" s="37"/>
      <c r="U21" s="37"/>
      <c r="V21" s="37">
        <v>251860</v>
      </c>
      <c r="W21" s="38" t="s">
        <v>50</v>
      </c>
    </row>
    <row r="22" spans="1:82" ht="30" customHeight="1" x14ac:dyDescent="0.25">
      <c r="A22" s="68">
        <v>58505</v>
      </c>
      <c r="B22" s="2" t="s">
        <v>22</v>
      </c>
      <c r="C22" s="15"/>
      <c r="D22" s="39"/>
      <c r="E22" s="37">
        <f>N21</f>
        <v>52920</v>
      </c>
      <c r="F22" s="37"/>
      <c r="G22" s="37"/>
      <c r="H22" s="37"/>
      <c r="I22" s="37"/>
      <c r="J22" s="37"/>
      <c r="K22" s="37"/>
      <c r="L22" s="37"/>
      <c r="M22" s="37"/>
      <c r="N22" s="37"/>
      <c r="O22" s="60">
        <f>E22</f>
        <v>52920</v>
      </c>
      <c r="P22" s="5"/>
      <c r="Q22" s="37"/>
      <c r="R22" s="37"/>
      <c r="S22" s="37"/>
      <c r="T22" s="37"/>
      <c r="U22" s="37"/>
      <c r="V22" s="37">
        <v>52920</v>
      </c>
      <c r="W22" s="38" t="s">
        <v>51</v>
      </c>
      <c r="X22" s="51">
        <f>SUM(O17:O22)-SUM(V17:V22)</f>
        <v>2940</v>
      </c>
    </row>
    <row r="23" spans="1:82" s="35" customFormat="1" ht="30" customHeight="1" x14ac:dyDescent="0.25">
      <c r="A23" s="40">
        <v>58504</v>
      </c>
      <c r="B23" s="41"/>
      <c r="C23" s="16"/>
      <c r="D23" s="42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6">
        <f>A23</f>
        <v>58504</v>
      </c>
      <c r="Q23" s="41"/>
      <c r="R23" s="41"/>
      <c r="S23" s="41"/>
      <c r="T23" s="41"/>
      <c r="U23" s="41"/>
      <c r="V23" s="41"/>
      <c r="W23" s="40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</row>
    <row r="24" spans="1:82" ht="30" customHeight="1" x14ac:dyDescent="0.25">
      <c r="A24" s="68">
        <v>58504</v>
      </c>
      <c r="B24" s="37" t="s">
        <v>13</v>
      </c>
      <c r="C24" s="15">
        <v>45143</v>
      </c>
      <c r="D24" s="39">
        <v>1</v>
      </c>
      <c r="E24" s="37">
        <v>389812.5</v>
      </c>
      <c r="F24" s="37">
        <v>0</v>
      </c>
      <c r="G24" s="37">
        <v>389813</v>
      </c>
      <c r="H24" s="37">
        <v>70166</v>
      </c>
      <c r="I24" s="37">
        <v>459979</v>
      </c>
      <c r="J24" s="37">
        <f>J6*G24</f>
        <v>7796.26</v>
      </c>
      <c r="K24" s="37">
        <f>K6*G24</f>
        <v>19490.650000000001</v>
      </c>
      <c r="L24" s="37">
        <v>0</v>
      </c>
      <c r="M24" s="37">
        <v>0</v>
      </c>
      <c r="N24" s="60">
        <v>70166</v>
      </c>
      <c r="O24" s="37">
        <f>G24-J24-K24</f>
        <v>362526.08999999997</v>
      </c>
      <c r="P24" s="5"/>
      <c r="Q24" s="37" t="s">
        <v>14</v>
      </c>
      <c r="R24" s="37">
        <v>200000</v>
      </c>
      <c r="S24" s="37">
        <f>R24*$S$6</f>
        <v>2000</v>
      </c>
      <c r="T24" s="37">
        <v>0</v>
      </c>
      <c r="U24" s="37">
        <v>0</v>
      </c>
      <c r="V24" s="37">
        <f>R24-S24</f>
        <v>198000</v>
      </c>
      <c r="W24" s="38" t="s">
        <v>15</v>
      </c>
    </row>
    <row r="25" spans="1:82" ht="30" customHeight="1" x14ac:dyDescent="0.25">
      <c r="A25" s="68">
        <v>58504</v>
      </c>
      <c r="B25" s="37" t="s">
        <v>22</v>
      </c>
      <c r="C25" s="15">
        <v>45184</v>
      </c>
      <c r="D25" s="39">
        <v>1</v>
      </c>
      <c r="E25" s="37">
        <v>70166</v>
      </c>
      <c r="F25" s="37"/>
      <c r="G25" s="37">
        <f>ROUND(E25-F25,)</f>
        <v>70166</v>
      </c>
      <c r="H25" s="37"/>
      <c r="I25" s="37">
        <f>G25+H25</f>
        <v>70166</v>
      </c>
      <c r="J25" s="37"/>
      <c r="K25" s="37"/>
      <c r="L25" s="37"/>
      <c r="M25" s="37"/>
      <c r="N25" s="37"/>
      <c r="O25" s="60">
        <f>ROUND(I25-SUM(J25:N25),0)</f>
        <v>70166</v>
      </c>
      <c r="P25" s="5"/>
      <c r="Q25" s="37" t="s">
        <v>23</v>
      </c>
      <c r="R25" s="37">
        <v>166526</v>
      </c>
      <c r="S25" s="37">
        <v>0</v>
      </c>
      <c r="T25" s="37"/>
      <c r="U25" s="37"/>
      <c r="V25" s="37">
        <f t="shared" ref="V25:V28" si="1">R25-S25</f>
        <v>166526</v>
      </c>
      <c r="W25" s="38" t="s">
        <v>20</v>
      </c>
    </row>
    <row r="26" spans="1:82" ht="30" customHeight="1" x14ac:dyDescent="0.25">
      <c r="A26" s="68">
        <v>58504</v>
      </c>
      <c r="B26" s="37" t="s">
        <v>13</v>
      </c>
      <c r="C26" s="15">
        <v>45234</v>
      </c>
      <c r="D26" s="39">
        <v>8</v>
      </c>
      <c r="E26" s="37">
        <v>389812</v>
      </c>
      <c r="F26" s="37">
        <v>0</v>
      </c>
      <c r="G26" s="37">
        <f>E26-F26</f>
        <v>389812</v>
      </c>
      <c r="H26" s="37">
        <f>G26*18%</f>
        <v>70166.16</v>
      </c>
      <c r="I26" s="37">
        <f>H26+G26</f>
        <v>459978.16000000003</v>
      </c>
      <c r="J26" s="37">
        <f>G26*2%</f>
        <v>7796.24</v>
      </c>
      <c r="K26" s="37">
        <f>G26*5%</f>
        <v>19490.600000000002</v>
      </c>
      <c r="L26" s="37">
        <v>0</v>
      </c>
      <c r="M26" s="37">
        <v>0</v>
      </c>
      <c r="N26" s="60">
        <f>H26</f>
        <v>70166.16</v>
      </c>
      <c r="O26" s="37">
        <f>I26-J26-K26-N26-M26-L26</f>
        <v>362525.16000000003</v>
      </c>
      <c r="P26" s="5"/>
      <c r="Q26" s="37" t="s">
        <v>27</v>
      </c>
      <c r="R26" s="37">
        <v>70166</v>
      </c>
      <c r="S26" s="36"/>
      <c r="T26" s="37"/>
      <c r="U26" s="37"/>
      <c r="V26" s="37">
        <f t="shared" si="1"/>
        <v>70166</v>
      </c>
      <c r="W26" s="38" t="s">
        <v>28</v>
      </c>
    </row>
    <row r="27" spans="1:82" ht="30" customHeight="1" x14ac:dyDescent="0.25">
      <c r="A27" s="68">
        <v>58504</v>
      </c>
      <c r="B27" s="37" t="s">
        <v>22</v>
      </c>
      <c r="C27" s="15"/>
      <c r="D27" s="39">
        <v>8</v>
      </c>
      <c r="E27" s="37">
        <f>N26</f>
        <v>70166.16</v>
      </c>
      <c r="F27" s="37"/>
      <c r="G27" s="37"/>
      <c r="H27" s="37"/>
      <c r="I27" s="37"/>
      <c r="J27" s="37"/>
      <c r="K27" s="37"/>
      <c r="L27" s="37"/>
      <c r="M27" s="37"/>
      <c r="N27" s="37"/>
      <c r="O27" s="60">
        <f>E27</f>
        <v>70166.16</v>
      </c>
      <c r="P27" s="5"/>
      <c r="Q27" s="37" t="s">
        <v>41</v>
      </c>
      <c r="R27" s="37">
        <v>150000</v>
      </c>
      <c r="S27" s="36">
        <v>3000</v>
      </c>
      <c r="T27" s="37"/>
      <c r="U27" s="37"/>
      <c r="V27" s="37">
        <f t="shared" si="1"/>
        <v>147000</v>
      </c>
      <c r="W27" s="38" t="s">
        <v>39</v>
      </c>
      <c r="Y27" s="51"/>
    </row>
    <row r="28" spans="1:82" ht="30" customHeight="1" x14ac:dyDescent="0.25">
      <c r="A28" s="68">
        <v>58504</v>
      </c>
      <c r="B28" s="37" t="s">
        <v>13</v>
      </c>
      <c r="C28" s="15">
        <v>45392</v>
      </c>
      <c r="D28" s="8">
        <v>1</v>
      </c>
      <c r="E28" s="37">
        <v>389812</v>
      </c>
      <c r="F28" s="37">
        <v>0</v>
      </c>
      <c r="G28" s="37">
        <f>E28-F28</f>
        <v>389812</v>
      </c>
      <c r="H28" s="37">
        <f>G28*18%</f>
        <v>70166.16</v>
      </c>
      <c r="I28" s="37">
        <f>G28+H28</f>
        <v>459978.16000000003</v>
      </c>
      <c r="J28" s="37">
        <f>G28*2%</f>
        <v>7796.24</v>
      </c>
      <c r="K28" s="37">
        <f>G28*5%</f>
        <v>19490.600000000002</v>
      </c>
      <c r="L28" s="37">
        <v>0</v>
      </c>
      <c r="M28" s="37"/>
      <c r="N28" s="60">
        <f>G28*18%</f>
        <v>70166.16</v>
      </c>
      <c r="O28" s="37">
        <f>I28-SUM(J28:N28)</f>
        <v>362525.16000000003</v>
      </c>
      <c r="P28" s="5"/>
      <c r="Q28" s="37" t="s">
        <v>42</v>
      </c>
      <c r="R28" s="37">
        <v>215526</v>
      </c>
      <c r="S28" s="36"/>
      <c r="T28" s="37"/>
      <c r="U28" s="37"/>
      <c r="V28" s="37">
        <f t="shared" si="1"/>
        <v>215526</v>
      </c>
      <c r="W28" s="38" t="s">
        <v>40</v>
      </c>
    </row>
    <row r="29" spans="1:82" ht="30" customHeight="1" x14ac:dyDescent="0.25">
      <c r="A29" s="68">
        <v>58504</v>
      </c>
      <c r="B29" s="37" t="s">
        <v>22</v>
      </c>
      <c r="C29" s="15"/>
      <c r="D29" s="8">
        <v>1</v>
      </c>
      <c r="E29" s="37">
        <f>N28</f>
        <v>70166.16</v>
      </c>
      <c r="F29" s="37"/>
      <c r="G29" s="37"/>
      <c r="H29" s="37"/>
      <c r="I29" s="37"/>
      <c r="J29" s="37"/>
      <c r="K29" s="37"/>
      <c r="L29" s="37"/>
      <c r="M29" s="37"/>
      <c r="N29" s="37"/>
      <c r="O29" s="60">
        <f>E29</f>
        <v>70166.16</v>
      </c>
      <c r="P29" s="5"/>
      <c r="Q29" s="37"/>
      <c r="R29" s="37"/>
      <c r="S29" s="37"/>
      <c r="T29" s="37"/>
      <c r="U29" s="37"/>
      <c r="V29" s="37">
        <v>70166</v>
      </c>
      <c r="W29" s="38" t="s">
        <v>45</v>
      </c>
    </row>
    <row r="30" spans="1:82" ht="30" customHeight="1" x14ac:dyDescent="0.25">
      <c r="A30" s="68">
        <v>58504</v>
      </c>
      <c r="B30" s="37"/>
      <c r="C30" s="15"/>
      <c r="D30" s="8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52"/>
      <c r="Q30" s="37"/>
      <c r="R30" s="37"/>
      <c r="S30" s="37"/>
      <c r="T30" s="37"/>
      <c r="U30" s="37"/>
      <c r="V30" s="37">
        <v>362526</v>
      </c>
      <c r="W30" s="38" t="s">
        <v>57</v>
      </c>
      <c r="X30" s="51"/>
    </row>
    <row r="31" spans="1:82" ht="30" customHeight="1" x14ac:dyDescent="0.25">
      <c r="A31" s="68">
        <v>58504</v>
      </c>
      <c r="B31" s="37"/>
      <c r="C31" s="15"/>
      <c r="D31" s="8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52"/>
      <c r="Q31" s="37"/>
      <c r="R31" s="37"/>
      <c r="S31" s="37"/>
      <c r="T31" s="37"/>
      <c r="U31" s="37"/>
      <c r="V31" s="37">
        <v>70166</v>
      </c>
      <c r="W31" s="38" t="s">
        <v>63</v>
      </c>
      <c r="X31" s="51">
        <f>SUM(O24:O29)-SUM(V24:V31)</f>
        <v>-2001.2700000000186</v>
      </c>
    </row>
    <row r="32" spans="1:82" ht="30" customHeight="1" x14ac:dyDescent="0.25">
      <c r="A32" s="68">
        <v>58504</v>
      </c>
      <c r="B32" s="37"/>
      <c r="C32" s="15"/>
      <c r="D32" s="39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52"/>
      <c r="Q32" s="37"/>
      <c r="R32" s="37"/>
      <c r="S32" s="37"/>
      <c r="T32" s="37"/>
      <c r="U32" s="37"/>
      <c r="V32" s="37"/>
      <c r="W32" s="38"/>
      <c r="X32" s="51"/>
    </row>
    <row r="33" spans="1:82" s="35" customFormat="1" ht="30" customHeight="1" x14ac:dyDescent="0.25">
      <c r="A33" s="40">
        <v>58503</v>
      </c>
      <c r="B33" s="41"/>
      <c r="C33" s="16"/>
      <c r="D33" s="42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6">
        <f>A33</f>
        <v>58503</v>
      </c>
      <c r="Q33" s="41"/>
      <c r="R33" s="41"/>
      <c r="S33" s="41"/>
      <c r="T33" s="41"/>
      <c r="U33" s="41"/>
      <c r="V33" s="41"/>
      <c r="W33" s="40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</row>
    <row r="34" spans="1:82" ht="30" customHeight="1" x14ac:dyDescent="0.25">
      <c r="A34" s="68">
        <v>58503</v>
      </c>
      <c r="B34" s="37" t="s">
        <v>67</v>
      </c>
      <c r="C34" s="15">
        <v>45143</v>
      </c>
      <c r="D34" s="8">
        <v>4</v>
      </c>
      <c r="E34" s="37">
        <v>371250</v>
      </c>
      <c r="F34" s="37">
        <v>0</v>
      </c>
      <c r="G34" s="37">
        <v>371250</v>
      </c>
      <c r="H34" s="37">
        <v>66825</v>
      </c>
      <c r="I34" s="37">
        <v>438075</v>
      </c>
      <c r="J34" s="37">
        <v>7425</v>
      </c>
      <c r="K34" s="37">
        <v>18563</v>
      </c>
      <c r="L34" s="37">
        <v>0</v>
      </c>
      <c r="M34" s="37">
        <v>0</v>
      </c>
      <c r="N34" s="60">
        <v>66825</v>
      </c>
      <c r="O34" s="37">
        <v>345262</v>
      </c>
      <c r="P34" s="5"/>
      <c r="Q34" s="37" t="s">
        <v>16</v>
      </c>
      <c r="R34" s="37">
        <v>200000</v>
      </c>
      <c r="S34" s="37">
        <v>4000</v>
      </c>
      <c r="T34" s="37">
        <v>0</v>
      </c>
      <c r="U34" s="37">
        <v>0</v>
      </c>
      <c r="V34" s="37">
        <f>R34-S34</f>
        <v>196000</v>
      </c>
      <c r="W34" s="38" t="s">
        <v>17</v>
      </c>
    </row>
    <row r="35" spans="1:82" ht="30" customHeight="1" x14ac:dyDescent="0.25">
      <c r="A35" s="68">
        <v>58503</v>
      </c>
      <c r="B35" s="2" t="s">
        <v>24</v>
      </c>
      <c r="C35" s="9">
        <v>45184</v>
      </c>
      <c r="D35" s="8">
        <v>4</v>
      </c>
      <c r="E35" s="37">
        <v>66825</v>
      </c>
      <c r="F35" s="37"/>
      <c r="G35" s="37">
        <f>ROUND(E35-F35,)</f>
        <v>66825</v>
      </c>
      <c r="H35" s="37"/>
      <c r="I35" s="37">
        <f>G35+H35</f>
        <v>66825</v>
      </c>
      <c r="J35" s="37"/>
      <c r="K35" s="37"/>
      <c r="L35" s="37"/>
      <c r="M35" s="37"/>
      <c r="N35" s="37">
        <f>H35</f>
        <v>0</v>
      </c>
      <c r="O35" s="60">
        <f>ROUND(I35-SUM(J35:N35),0)</f>
        <v>66825</v>
      </c>
      <c r="P35" s="5"/>
      <c r="Q35" s="37" t="s">
        <v>21</v>
      </c>
      <c r="R35" s="37">
        <v>149262</v>
      </c>
      <c r="S35" s="37">
        <v>0</v>
      </c>
      <c r="T35" s="37">
        <v>0</v>
      </c>
      <c r="U35" s="37">
        <v>0</v>
      </c>
      <c r="V35" s="37">
        <f t="shared" ref="V35:V37" si="2">R35-S35</f>
        <v>149262</v>
      </c>
      <c r="W35" s="38" t="s">
        <v>25</v>
      </c>
    </row>
    <row r="36" spans="1:82" ht="30" customHeight="1" x14ac:dyDescent="0.25">
      <c r="A36" s="68">
        <v>58503</v>
      </c>
      <c r="B36" s="37" t="s">
        <v>67</v>
      </c>
      <c r="C36" s="15">
        <v>45234</v>
      </c>
      <c r="D36" s="8">
        <v>7</v>
      </c>
      <c r="E36" s="37">
        <v>371250</v>
      </c>
      <c r="F36" s="37">
        <v>0</v>
      </c>
      <c r="G36" s="37">
        <f>E36-F36</f>
        <v>371250</v>
      </c>
      <c r="H36" s="37">
        <f>G36*18%</f>
        <v>66825</v>
      </c>
      <c r="I36" s="37">
        <f>H36+G36</f>
        <v>438075</v>
      </c>
      <c r="J36" s="37">
        <f>G36*2%</f>
        <v>7425</v>
      </c>
      <c r="K36" s="37">
        <f>G36*5%</f>
        <v>18562.5</v>
      </c>
      <c r="L36" s="37">
        <v>0</v>
      </c>
      <c r="M36" s="37">
        <v>0</v>
      </c>
      <c r="N36" s="60">
        <f>H36</f>
        <v>66825</v>
      </c>
      <c r="O36" s="37">
        <f>I36-J36-K36-N36-M36-L36</f>
        <v>345262.5</v>
      </c>
      <c r="P36" s="5"/>
      <c r="Q36" s="37" t="s">
        <v>37</v>
      </c>
      <c r="R36" s="37">
        <v>66825</v>
      </c>
      <c r="S36" s="37"/>
      <c r="T36" s="37"/>
      <c r="U36" s="37"/>
      <c r="V36" s="37">
        <f t="shared" si="2"/>
        <v>66825</v>
      </c>
      <c r="W36" s="38" t="s">
        <v>32</v>
      </c>
    </row>
    <row r="37" spans="1:82" ht="30" customHeight="1" x14ac:dyDescent="0.25">
      <c r="A37" s="68">
        <v>58503</v>
      </c>
      <c r="B37" s="37" t="s">
        <v>67</v>
      </c>
      <c r="C37" s="9">
        <v>45364</v>
      </c>
      <c r="D37" s="8">
        <v>11</v>
      </c>
      <c r="E37" s="37">
        <f>A35*15%</f>
        <v>8775.4499999999989</v>
      </c>
      <c r="F37" s="37">
        <v>0</v>
      </c>
      <c r="G37" s="37">
        <f>E37-F37</f>
        <v>8775.4499999999989</v>
      </c>
      <c r="H37" s="37">
        <f>G37*18%</f>
        <v>1579.5809999999997</v>
      </c>
      <c r="I37" s="37">
        <f>H37+G37</f>
        <v>10355.030999999999</v>
      </c>
      <c r="J37" s="37">
        <f>G37*2%</f>
        <v>175.50899999999999</v>
      </c>
      <c r="K37" s="37">
        <f>G37*5%</f>
        <v>438.77249999999998</v>
      </c>
      <c r="L37" s="37">
        <v>0</v>
      </c>
      <c r="M37" s="37">
        <v>0</v>
      </c>
      <c r="N37" s="60">
        <f>H37</f>
        <v>1579.5809999999997</v>
      </c>
      <c r="O37" s="37">
        <f>I37-J37-K37-N37-M37-L37</f>
        <v>8161.1684999999998</v>
      </c>
      <c r="P37" s="5"/>
      <c r="Q37" s="37" t="s">
        <v>38</v>
      </c>
      <c r="R37" s="37">
        <v>150000</v>
      </c>
      <c r="S37" s="37">
        <v>3000</v>
      </c>
      <c r="T37" s="37"/>
      <c r="U37" s="37"/>
      <c r="V37" s="37">
        <f t="shared" si="2"/>
        <v>147000</v>
      </c>
      <c r="W37" s="37" t="s">
        <v>36</v>
      </c>
    </row>
    <row r="38" spans="1:82" ht="30" customHeight="1" x14ac:dyDescent="0.25">
      <c r="A38" s="68">
        <v>58503</v>
      </c>
      <c r="B38" s="37" t="s">
        <v>22</v>
      </c>
      <c r="C38" s="15"/>
      <c r="D38" s="39">
        <v>7</v>
      </c>
      <c r="E38" s="37">
        <f>N36</f>
        <v>66825</v>
      </c>
      <c r="F38" s="37"/>
      <c r="G38" s="37"/>
      <c r="H38" s="37"/>
      <c r="I38" s="37"/>
      <c r="J38" s="37"/>
      <c r="K38" s="37"/>
      <c r="L38" s="37"/>
      <c r="M38" s="37"/>
      <c r="N38" s="37"/>
      <c r="O38" s="60">
        <f>E38</f>
        <v>66825</v>
      </c>
      <c r="P38" s="37"/>
      <c r="Q38" s="37"/>
      <c r="R38" s="37"/>
      <c r="S38" s="37"/>
      <c r="T38" s="37"/>
      <c r="U38" s="37"/>
      <c r="V38" s="37">
        <v>198262</v>
      </c>
      <c r="W38" s="37" t="s">
        <v>47</v>
      </c>
    </row>
    <row r="39" spans="1:82" ht="30" customHeight="1" x14ac:dyDescent="0.25">
      <c r="A39" s="68">
        <v>58503</v>
      </c>
      <c r="B39" s="44" t="s">
        <v>22</v>
      </c>
      <c r="C39" s="17"/>
      <c r="D39" s="45">
        <v>11</v>
      </c>
      <c r="E39" s="44">
        <f>N37</f>
        <v>1579.5809999999997</v>
      </c>
      <c r="F39" s="44"/>
      <c r="G39" s="44"/>
      <c r="H39" s="44"/>
      <c r="I39" s="44"/>
      <c r="J39" s="44"/>
      <c r="K39" s="44"/>
      <c r="L39" s="44"/>
      <c r="M39" s="44"/>
      <c r="N39" s="44"/>
      <c r="O39" s="61">
        <f>E39</f>
        <v>1579.5809999999997</v>
      </c>
      <c r="P39" s="44"/>
      <c r="Q39" s="44"/>
      <c r="R39" s="44"/>
      <c r="S39" s="44"/>
      <c r="T39" s="44"/>
      <c r="U39" s="44"/>
      <c r="V39" s="44">
        <v>300000</v>
      </c>
      <c r="W39" s="44" t="s">
        <v>48</v>
      </c>
    </row>
    <row r="40" spans="1:82" ht="30" customHeight="1" x14ac:dyDescent="0.25">
      <c r="A40" s="68">
        <v>58503</v>
      </c>
      <c r="B40" s="37" t="s">
        <v>67</v>
      </c>
      <c r="C40" s="15">
        <v>45143</v>
      </c>
      <c r="D40" s="8">
        <v>4</v>
      </c>
      <c r="E40" s="37">
        <v>247500</v>
      </c>
      <c r="F40" s="37">
        <v>0</v>
      </c>
      <c r="G40" s="37">
        <f>E40-F40</f>
        <v>247500</v>
      </c>
      <c r="H40" s="37">
        <f>G40*18%</f>
        <v>44550</v>
      </c>
      <c r="I40" s="37">
        <f>H40+G40</f>
        <v>292050</v>
      </c>
      <c r="J40" s="37">
        <f>G40*2%</f>
        <v>4950</v>
      </c>
      <c r="K40" s="37">
        <f>G40*5%</f>
        <v>12375</v>
      </c>
      <c r="L40" s="37">
        <v>0</v>
      </c>
      <c r="M40" s="37">
        <v>0</v>
      </c>
      <c r="N40" s="60">
        <f>H40</f>
        <v>44550</v>
      </c>
      <c r="O40" s="37">
        <f>I40-J40-K40-N40-M40-L40</f>
        <v>230175</v>
      </c>
      <c r="P40" s="44"/>
      <c r="Q40" s="44"/>
      <c r="R40" s="44"/>
      <c r="S40" s="44"/>
      <c r="T40" s="44"/>
      <c r="U40" s="44"/>
      <c r="V40" s="44">
        <v>66825</v>
      </c>
      <c r="W40" s="37" t="s">
        <v>49</v>
      </c>
    </row>
    <row r="41" spans="1:82" ht="30" customHeight="1" x14ac:dyDescent="0.25">
      <c r="A41" s="68">
        <v>58503</v>
      </c>
      <c r="B41" s="44" t="s">
        <v>24</v>
      </c>
      <c r="C41" s="17"/>
      <c r="D41" s="45">
        <v>4</v>
      </c>
      <c r="E41" s="44">
        <f>H40</f>
        <v>44550</v>
      </c>
      <c r="F41" s="44"/>
      <c r="G41" s="44"/>
      <c r="H41" s="44"/>
      <c r="I41" s="44"/>
      <c r="J41" s="44"/>
      <c r="K41" s="44"/>
      <c r="L41" s="44"/>
      <c r="M41" s="44"/>
      <c r="N41" s="44"/>
      <c r="O41" s="61">
        <f>N40</f>
        <v>44550</v>
      </c>
      <c r="P41" s="44"/>
      <c r="Q41" s="44"/>
      <c r="R41" s="44"/>
      <c r="S41" s="44"/>
      <c r="T41" s="44"/>
      <c r="U41" s="44"/>
      <c r="V41" s="44">
        <v>230175</v>
      </c>
      <c r="W41" s="44" t="s">
        <v>52</v>
      </c>
    </row>
    <row r="42" spans="1:82" ht="30" customHeight="1" x14ac:dyDescent="0.25">
      <c r="A42" s="68">
        <v>58503</v>
      </c>
      <c r="B42" s="37" t="s">
        <v>67</v>
      </c>
      <c r="C42" s="15">
        <v>45458</v>
      </c>
      <c r="D42" s="8">
        <v>7</v>
      </c>
      <c r="E42" s="37">
        <v>371250</v>
      </c>
      <c r="F42" s="37">
        <v>0</v>
      </c>
      <c r="G42" s="37">
        <f>E42-F42</f>
        <v>371250</v>
      </c>
      <c r="H42" s="37">
        <f>G42*18%</f>
        <v>66825</v>
      </c>
      <c r="I42" s="37">
        <f>H42+G42</f>
        <v>438075</v>
      </c>
      <c r="J42" s="37">
        <f>G42*2%</f>
        <v>7425</v>
      </c>
      <c r="K42" s="37">
        <f>G42*5%</f>
        <v>18562.5</v>
      </c>
      <c r="L42" s="37">
        <v>0</v>
      </c>
      <c r="M42" s="37">
        <v>0</v>
      </c>
      <c r="N42" s="60">
        <f>H42</f>
        <v>66825</v>
      </c>
      <c r="O42" s="37">
        <f>I42-J42-K42-N42-M42-L42</f>
        <v>345262.5</v>
      </c>
      <c r="P42" s="37"/>
      <c r="Q42" s="44"/>
      <c r="R42" s="44"/>
      <c r="S42" s="44"/>
      <c r="T42" s="44"/>
      <c r="U42" s="44"/>
      <c r="V42" s="37">
        <v>66825</v>
      </c>
      <c r="W42" s="37" t="s">
        <v>53</v>
      </c>
    </row>
    <row r="43" spans="1:82" ht="30" customHeight="1" x14ac:dyDescent="0.25">
      <c r="A43" s="68">
        <v>58503</v>
      </c>
      <c r="B43" s="56" t="s">
        <v>24</v>
      </c>
      <c r="C43" s="57"/>
      <c r="D43" s="58">
        <v>7</v>
      </c>
      <c r="E43" s="56">
        <f>N42</f>
        <v>66825</v>
      </c>
      <c r="F43" s="56"/>
      <c r="G43" s="56"/>
      <c r="H43" s="56"/>
      <c r="I43" s="56"/>
      <c r="J43" s="56"/>
      <c r="K43" s="56"/>
      <c r="L43" s="56"/>
      <c r="M43" s="56"/>
      <c r="N43" s="56"/>
      <c r="O43" s="60">
        <f>N42</f>
        <v>66825</v>
      </c>
      <c r="P43" s="56"/>
      <c r="Q43" s="55"/>
      <c r="R43" s="55"/>
      <c r="S43" s="55"/>
      <c r="T43" s="55"/>
      <c r="U43" s="55"/>
      <c r="V43" s="56">
        <v>44550</v>
      </c>
      <c r="W43" s="56" t="s">
        <v>58</v>
      </c>
      <c r="X43" s="51"/>
    </row>
    <row r="44" spans="1:82" ht="30" customHeight="1" x14ac:dyDescent="0.25">
      <c r="A44" s="68">
        <v>58503</v>
      </c>
      <c r="B44" s="56"/>
      <c r="C44" s="57"/>
      <c r="D44" s="58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>
        <v>345262</v>
      </c>
      <c r="W44" s="56" t="s">
        <v>59</v>
      </c>
      <c r="X44" s="51"/>
    </row>
    <row r="45" spans="1:82" ht="30" customHeight="1" x14ac:dyDescent="0.25">
      <c r="A45" s="68">
        <v>58503</v>
      </c>
      <c r="B45" s="56"/>
      <c r="C45" s="57"/>
      <c r="D45" s="58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>
        <v>66825</v>
      </c>
      <c r="W45" s="56" t="s">
        <v>64</v>
      </c>
      <c r="X45" s="51"/>
    </row>
    <row r="46" spans="1:82" ht="30" customHeight="1" thickBot="1" x14ac:dyDescent="0.3">
      <c r="A46" s="68">
        <v>58503</v>
      </c>
      <c r="B46" s="56"/>
      <c r="C46" s="57"/>
      <c r="D46" s="58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5"/>
      <c r="Q46" s="55"/>
      <c r="R46" s="55"/>
      <c r="S46" s="55"/>
      <c r="T46" s="55"/>
      <c r="U46" s="55"/>
      <c r="V46" s="55"/>
      <c r="W46" s="56"/>
      <c r="X46" s="51">
        <f>SUM(O34:O46)-SUM(V34:V46)</f>
        <v>-357083.25050000008</v>
      </c>
    </row>
    <row r="47" spans="1:82" ht="30" customHeight="1" x14ac:dyDescent="0.25">
      <c r="A47" s="69"/>
      <c r="B47" s="46"/>
      <c r="C47" s="18"/>
      <c r="D47" s="47"/>
      <c r="E47" s="4">
        <f t="shared" ref="E47:N47" si="3">SUM(E6:E42)</f>
        <v>5023395.6010000007</v>
      </c>
      <c r="F47" s="4">
        <f t="shared" si="3"/>
        <v>0</v>
      </c>
      <c r="G47" s="4">
        <f t="shared" si="3"/>
        <v>4896573.45</v>
      </c>
      <c r="H47" s="4">
        <f t="shared" si="3"/>
        <v>819983.08100000001</v>
      </c>
      <c r="I47" s="4">
        <f t="shared" si="3"/>
        <v>5716556.3510000007</v>
      </c>
      <c r="J47" s="4">
        <f t="shared" si="3"/>
        <v>88698.468999999997</v>
      </c>
      <c r="K47" s="4">
        <f t="shared" si="3"/>
        <v>227773.67250000002</v>
      </c>
      <c r="L47" s="4">
        <f t="shared" si="3"/>
        <v>0</v>
      </c>
      <c r="M47" s="4">
        <f t="shared" si="3"/>
        <v>34692.1</v>
      </c>
      <c r="N47" s="4">
        <f t="shared" si="3"/>
        <v>819983.08100000001</v>
      </c>
      <c r="O47" s="4">
        <f>SUM(O6:O46)</f>
        <v>5030102.4795000004</v>
      </c>
      <c r="P47" s="4"/>
      <c r="Q47" s="4"/>
      <c r="R47" s="4"/>
      <c r="S47" s="4"/>
      <c r="T47" s="4" t="s">
        <v>6</v>
      </c>
      <c r="U47" s="4"/>
      <c r="V47" s="4">
        <f>SUM(V6:V45)</f>
        <v>5006877</v>
      </c>
      <c r="W47" s="46"/>
    </row>
    <row r="48" spans="1:82" ht="30" customHeight="1" thickBot="1" x14ac:dyDescent="0.3">
      <c r="A48" s="70"/>
      <c r="B48" s="28"/>
      <c r="C48" s="13"/>
      <c r="D48" s="29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37"/>
      <c r="R48" s="37"/>
      <c r="S48" s="37"/>
      <c r="T48" s="48" t="s">
        <v>5</v>
      </c>
      <c r="U48" s="37"/>
      <c r="V48" s="59">
        <f>O47-V47</f>
        <v>23225.479500000365</v>
      </c>
      <c r="W48" s="28"/>
      <c r="X48" s="48">
        <f>SUM(X7:X47)</f>
        <v>23225.479499999899</v>
      </c>
    </row>
    <row r="49" spans="1:23" ht="30" customHeight="1" thickBot="1" x14ac:dyDescent="0.3">
      <c r="A49" s="71"/>
      <c r="B49" s="1"/>
      <c r="C49" s="53"/>
      <c r="D49" s="54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30" customHeight="1" x14ac:dyDescent="0.25">
      <c r="A50" s="71"/>
      <c r="B50" s="1"/>
      <c r="C50" s="53"/>
      <c r="D50" s="54"/>
      <c r="E50" s="1"/>
      <c r="F50" s="1"/>
      <c r="G50" s="1"/>
      <c r="H50" s="1"/>
      <c r="I50" s="83" t="s">
        <v>9</v>
      </c>
      <c r="J50" s="84"/>
      <c r="K50" s="85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30" customHeight="1" x14ac:dyDescent="0.25">
      <c r="I51" s="80" t="s">
        <v>65</v>
      </c>
      <c r="J51" s="81"/>
      <c r="K51" s="82"/>
    </row>
    <row r="52" spans="1:23" ht="30" customHeight="1" x14ac:dyDescent="0.25">
      <c r="I52" s="62" t="s">
        <v>54</v>
      </c>
      <c r="J52" s="86">
        <f>K47+M47</f>
        <v>262465.77250000002</v>
      </c>
      <c r="K52" s="87"/>
    </row>
    <row r="53" spans="1:23" ht="30" customHeight="1" x14ac:dyDescent="0.25">
      <c r="I53" s="62" t="s">
        <v>56</v>
      </c>
      <c r="J53" s="86">
        <f>V48</f>
        <v>23225.479500000365</v>
      </c>
      <c r="K53" s="87"/>
    </row>
    <row r="54" spans="1:23" ht="30" customHeight="1" thickBot="1" x14ac:dyDescent="0.3">
      <c r="I54" s="63" t="s">
        <v>55</v>
      </c>
      <c r="J54" s="88" t="s">
        <v>66</v>
      </c>
      <c r="K54" s="89"/>
    </row>
  </sheetData>
  <mergeCells count="5">
    <mergeCell ref="I51:K51"/>
    <mergeCell ref="I50:K50"/>
    <mergeCell ref="J52:K52"/>
    <mergeCell ref="J53:K53"/>
    <mergeCell ref="J54:K54"/>
  </mergeCells>
  <phoneticPr fontId="8" type="noConversion"/>
  <pageMargins left="0.70866141732283472" right="0.70866141732283472" top="0.74803149606299213" bottom="0.74803149606299213" header="0.31496062992125984" footer="0.31496062992125984"/>
  <pageSetup scale="3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2024-05-10T11:29:15Z</cp:lastPrinted>
  <dcterms:created xsi:type="dcterms:W3CDTF">2022-06-10T14:11:52Z</dcterms:created>
  <dcterms:modified xsi:type="dcterms:W3CDTF">2025-04-02T11:32:55Z</dcterms:modified>
</cp:coreProperties>
</file>