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e41bd7a0c422c/Desktop/Projects/EXCEL/"/>
    </mc:Choice>
  </mc:AlternateContent>
  <xr:revisionPtr revIDLastSave="5" documentId="8_{151CA5A4-197D-4759-B3D8-973F761EE241}" xr6:coauthVersionLast="47" xr6:coauthVersionMax="47" xr10:uidLastSave="{26EA971F-7428-40E3-B2B3-6F88568E179D}"/>
  <bookViews>
    <workbookView xWindow="2880" yWindow="2880" windowWidth="14400" windowHeight="7810" xr2:uid="{1D1D6AB9-B7E0-465A-B991-9548EF43134E}"/>
  </bookViews>
  <sheets>
    <sheet name="nz staff" sheetId="1" r:id="rId1"/>
    <sheet name="India Staff" sheetId="2" r:id="rId2"/>
    <sheet name="Salary VS Rating" sheetId="8" r:id="rId3"/>
    <sheet name="Date - Name" sheetId="11" r:id="rId4"/>
    <sheet name="Dept Count" sheetId="15" r:id="rId5"/>
    <sheet name="All Staff" sheetId="3" r:id="rId6"/>
    <sheet name="Gender 3 metric" sheetId="5" r:id="rId7"/>
    <sheet name="Report Card" sheetId="14" r:id="rId8"/>
    <sheet name="Sort - Filter" sheetId="4" r:id="rId9"/>
    <sheet name="Salary Spread" sheetId="6" r:id="rId10"/>
  </sheets>
  <definedNames>
    <definedName name="_xlchart.v1.0" hidden="1">'All Staff'!$H$1:$H$3</definedName>
    <definedName name="_xlchart.v1.1" hidden="1">'All Staff'!$H$4:$H$186</definedName>
    <definedName name="_xlchart.v1.2" hidden="1">'All Staff'!$H$1:$H$2</definedName>
    <definedName name="_xlchart.v1.3" hidden="1">'All Staff'!$H$3:$H$186</definedName>
    <definedName name="_xlcn.WorksheetConnection_StaffProject.xlsxStaff1" hidden="1">Staff[]</definedName>
    <definedName name="ExternalData_1" localSheetId="5" hidden="1">'All Staff'!$B$3:$J$186</definedName>
  </definedNames>
  <calcPr calcId="191029"/>
  <pivotCaches>
    <pivotCache cacheId="0" r:id="rId11"/>
    <pivotCache cacheId="1" r:id="rId12"/>
    <pivotCache cacheId="2" r:id="rId13"/>
    <pivotCache cacheId="3" r:id="rId14"/>
    <pivotCache cacheId="4" r:id="rId15"/>
    <pivotCache cacheId="5" r:id="rId1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aff" name="Staff" connection="WorksheetConnection_Staff Project.xlsx!Staff"/>
        </x15:modelTables>
        <x15:extLst>
          <ext xmlns:x16="http://schemas.microsoft.com/office/spreadsheetml/2014/11/main" uri="{9835A34E-60A6-4A7C-AAB8-D5F71C897F49}">
            <x16:modelTimeGroupings>
              <x16:modelTimeGrouping tableName="Staff" columnName="Date Joined" columnId="Date Joined">
                <x16:calculatedTimeColumn columnName="Date Joined (Year)" columnId="Date Joined (Year)" contentType="years" isSelected="1"/>
                <x16:calculatedTimeColumn columnName="Date Joined (Quarter)" columnId="Date Joined (Quarter)" contentType="quarters" isSelected="1"/>
                <x16:calculatedTimeColumn columnName="Date Joined (Month Index)" columnId="Date Joined (Month Index)" contentType="monthsindex" isSelected="1"/>
                <x16:calculatedTimeColumn columnName="Date Joined (Month)" columnId="Date Joined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11" l="1"/>
  <c r="V4" i="11" s="1"/>
  <c r="T4" i="11" a="1"/>
  <c r="T4" i="11" s="1"/>
  <c r="D3" i="14"/>
  <c r="M3" i="14"/>
  <c r="K3" i="14"/>
  <c r="I3" i="14"/>
  <c r="F3" i="14"/>
  <c r="B3" i="14"/>
  <c r="U5" i="11" l="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V8" i="11"/>
  <c r="S4" i="11" a="1"/>
  <c r="S4" i="11" s="1"/>
  <c r="L28" i="3"/>
  <c r="L8" i="3"/>
  <c r="L29" i="3"/>
  <c r="L30" i="3"/>
  <c r="L165" i="3"/>
  <c r="L9" i="3"/>
  <c r="L31" i="3"/>
  <c r="L32" i="3"/>
  <c r="L33" i="3"/>
  <c r="L10" i="3"/>
  <c r="L34" i="3"/>
  <c r="L35" i="3"/>
  <c r="L11" i="3"/>
  <c r="L36" i="3"/>
  <c r="L37" i="3"/>
  <c r="L166" i="3"/>
  <c r="L38" i="3"/>
  <c r="L39" i="3"/>
  <c r="L40" i="3"/>
  <c r="L12" i="3"/>
  <c r="L41" i="3"/>
  <c r="L167" i="3"/>
  <c r="L42" i="3"/>
  <c r="L4" i="3"/>
  <c r="L43" i="3"/>
  <c r="L44" i="3"/>
  <c r="L45" i="3"/>
  <c r="L46" i="3"/>
  <c r="L47" i="3"/>
  <c r="L48" i="3"/>
  <c r="L49" i="3"/>
  <c r="L50" i="3"/>
  <c r="L51" i="3"/>
  <c r="L13" i="3"/>
  <c r="L168" i="3"/>
  <c r="L169" i="3"/>
  <c r="L52" i="3"/>
  <c r="L14" i="3"/>
  <c r="L53" i="3"/>
  <c r="L54" i="3"/>
  <c r="L55" i="3"/>
  <c r="L56" i="3"/>
  <c r="L57" i="3"/>
  <c r="L58" i="3"/>
  <c r="L59" i="3"/>
  <c r="L60" i="3"/>
  <c r="L61" i="3"/>
  <c r="L62" i="3"/>
  <c r="L15" i="3"/>
  <c r="L170" i="3"/>
  <c r="L63" i="3"/>
  <c r="L16" i="3"/>
  <c r="L64" i="3"/>
  <c r="L65" i="3"/>
  <c r="L66" i="3"/>
  <c r="L67" i="3"/>
  <c r="L68" i="3"/>
  <c r="L69" i="3"/>
  <c r="L70" i="3"/>
  <c r="L71" i="3"/>
  <c r="L171" i="3"/>
  <c r="L72" i="3"/>
  <c r="L181" i="3"/>
  <c r="L5" i="3"/>
  <c r="L73" i="3"/>
  <c r="L74" i="3"/>
  <c r="L75" i="3"/>
  <c r="L182" i="3"/>
  <c r="L76" i="3"/>
  <c r="L77" i="3"/>
  <c r="L78" i="3"/>
  <c r="L172" i="3"/>
  <c r="L79" i="3"/>
  <c r="L80" i="3"/>
  <c r="L81" i="3"/>
  <c r="L82" i="3"/>
  <c r="L83" i="3"/>
  <c r="L84" i="3"/>
  <c r="L85" i="3"/>
  <c r="L86" i="3"/>
  <c r="L87" i="3"/>
  <c r="L88" i="3"/>
  <c r="L89" i="3"/>
  <c r="L90" i="3"/>
  <c r="L183" i="3"/>
  <c r="L91" i="3"/>
  <c r="L92" i="3"/>
  <c r="L93" i="3"/>
  <c r="L94" i="3"/>
  <c r="L95" i="3"/>
  <c r="L17" i="3"/>
  <c r="L96" i="3"/>
  <c r="L18" i="3"/>
  <c r="L97" i="3"/>
  <c r="L98" i="3"/>
  <c r="L173" i="3"/>
  <c r="L99" i="3"/>
  <c r="L100" i="3"/>
  <c r="L19" i="3"/>
  <c r="L101" i="3"/>
  <c r="L102" i="3"/>
  <c r="L103" i="3"/>
  <c r="L174" i="3"/>
  <c r="L104" i="3"/>
  <c r="L105" i="3"/>
  <c r="L106" i="3"/>
  <c r="L20" i="3"/>
  <c r="L107" i="3"/>
  <c r="L108" i="3"/>
  <c r="L109" i="3"/>
  <c r="L110" i="3"/>
  <c r="L111" i="3"/>
  <c r="L112" i="3"/>
  <c r="L175" i="3"/>
  <c r="L113" i="3"/>
  <c r="L114" i="3"/>
  <c r="L115" i="3"/>
  <c r="L6" i="3"/>
  <c r="L116" i="3"/>
  <c r="L117" i="3"/>
  <c r="L118" i="3"/>
  <c r="L119" i="3"/>
  <c r="L184" i="3"/>
  <c r="L120" i="3"/>
  <c r="L121" i="3"/>
  <c r="L21" i="3"/>
  <c r="L176" i="3"/>
  <c r="L122" i="3"/>
  <c r="L123" i="3"/>
  <c r="L124" i="3"/>
  <c r="L125" i="3"/>
  <c r="L177" i="3"/>
  <c r="L126" i="3"/>
  <c r="L127" i="3"/>
  <c r="L128" i="3"/>
  <c r="L129" i="3"/>
  <c r="L130" i="3"/>
  <c r="L131" i="3"/>
  <c r="L178" i="3"/>
  <c r="L22" i="3"/>
  <c r="L132" i="3"/>
  <c r="L133" i="3"/>
  <c r="L23" i="3"/>
  <c r="L134" i="3"/>
  <c r="L135" i="3"/>
  <c r="L136" i="3"/>
  <c r="L137" i="3"/>
  <c r="L7" i="3"/>
  <c r="L185" i="3"/>
  <c r="L138" i="3"/>
  <c r="L139" i="3"/>
  <c r="L24" i="3"/>
  <c r="L140" i="3"/>
  <c r="L141" i="3"/>
  <c r="L142" i="3"/>
  <c r="L143" i="3"/>
  <c r="L25" i="3"/>
  <c r="L26" i="3"/>
  <c r="L144" i="3"/>
  <c r="L145" i="3"/>
  <c r="L146" i="3"/>
  <c r="L147" i="3"/>
  <c r="L148" i="3"/>
  <c r="L179" i="3"/>
  <c r="L149" i="3"/>
  <c r="L150" i="3"/>
  <c r="L151" i="3"/>
  <c r="L152" i="3"/>
  <c r="L153" i="3"/>
  <c r="L27" i="3"/>
  <c r="L154" i="3"/>
  <c r="L155" i="3"/>
  <c r="L156" i="3"/>
  <c r="L157" i="3"/>
  <c r="L186" i="3"/>
  <c r="L158" i="3"/>
  <c r="L159" i="3"/>
  <c r="L160" i="3"/>
  <c r="L161" i="3"/>
  <c r="L162" i="3"/>
  <c r="L163" i="3"/>
  <c r="L180" i="3"/>
  <c r="L164" i="3"/>
  <c r="P27" i="3"/>
  <c r="P28" i="3" s="1"/>
  <c r="P29" i="3" s="1"/>
  <c r="P30" i="3" s="1"/>
  <c r="P9" i="3"/>
  <c r="I28" i="3"/>
  <c r="K28" i="3" s="1"/>
  <c r="I8" i="3"/>
  <c r="K8" i="3" s="1"/>
  <c r="I29" i="3"/>
  <c r="K29" i="3" s="1"/>
  <c r="I30" i="3"/>
  <c r="K30" i="3" s="1"/>
  <c r="I165" i="3"/>
  <c r="K165" i="3" s="1"/>
  <c r="I9" i="3"/>
  <c r="K9" i="3" s="1"/>
  <c r="I31" i="3"/>
  <c r="K31" i="3" s="1"/>
  <c r="I32" i="3"/>
  <c r="K32" i="3" s="1"/>
  <c r="I33" i="3"/>
  <c r="K33" i="3" s="1"/>
  <c r="I10" i="3"/>
  <c r="K10" i="3" s="1"/>
  <c r="I34" i="3"/>
  <c r="K34" i="3" s="1"/>
  <c r="I35" i="3"/>
  <c r="O16" i="3" s="1" a="1"/>
  <c r="O16" i="3" s="1"/>
  <c r="I11" i="3"/>
  <c r="K11" i="3" s="1"/>
  <c r="I36" i="3"/>
  <c r="K36" i="3" s="1"/>
  <c r="I37" i="3"/>
  <c r="K37" i="3" s="1"/>
  <c r="I166" i="3"/>
  <c r="K166" i="3" s="1"/>
  <c r="I38" i="3"/>
  <c r="K38" i="3" s="1"/>
  <c r="I39" i="3"/>
  <c r="K39" i="3" s="1"/>
  <c r="I40" i="3"/>
  <c r="K40" i="3" s="1"/>
  <c r="I12" i="3"/>
  <c r="K12" i="3" s="1"/>
  <c r="I41" i="3"/>
  <c r="K41" i="3" s="1"/>
  <c r="I167" i="3"/>
  <c r="K167" i="3" s="1"/>
  <c r="I42" i="3"/>
  <c r="K42" i="3" s="1"/>
  <c r="I4" i="3"/>
  <c r="K4" i="3" s="1"/>
  <c r="I43" i="3"/>
  <c r="K43" i="3" s="1"/>
  <c r="I44" i="3"/>
  <c r="K44" i="3" s="1"/>
  <c r="I45" i="3"/>
  <c r="K45" i="3" s="1"/>
  <c r="I46" i="3"/>
  <c r="K46" i="3" s="1"/>
  <c r="I47" i="3"/>
  <c r="K47" i="3" s="1"/>
  <c r="I48" i="3"/>
  <c r="K48" i="3" s="1"/>
  <c r="I49" i="3"/>
  <c r="K49" i="3" s="1"/>
  <c r="I50" i="3"/>
  <c r="K50" i="3" s="1"/>
  <c r="I51" i="3"/>
  <c r="K51" i="3" s="1"/>
  <c r="I13" i="3"/>
  <c r="K13" i="3" s="1"/>
  <c r="I168" i="3"/>
  <c r="K168" i="3" s="1"/>
  <c r="I169" i="3"/>
  <c r="K169" i="3" s="1"/>
  <c r="I52" i="3"/>
  <c r="K52" i="3" s="1"/>
  <c r="I14" i="3"/>
  <c r="K14" i="3" s="1"/>
  <c r="I53" i="3"/>
  <c r="K53" i="3" s="1"/>
  <c r="I54" i="3"/>
  <c r="K54" i="3" s="1"/>
  <c r="I55" i="3"/>
  <c r="K55" i="3" s="1"/>
  <c r="I56" i="3"/>
  <c r="K56" i="3" s="1"/>
  <c r="I57" i="3"/>
  <c r="K57" i="3" s="1"/>
  <c r="I58" i="3"/>
  <c r="K58" i="3" s="1"/>
  <c r="I59" i="3"/>
  <c r="K59" i="3" s="1"/>
  <c r="I60" i="3"/>
  <c r="K60" i="3" s="1"/>
  <c r="I61" i="3"/>
  <c r="K61" i="3" s="1"/>
  <c r="I62" i="3"/>
  <c r="K62" i="3" s="1"/>
  <c r="I15" i="3"/>
  <c r="K15" i="3" s="1"/>
  <c r="I170" i="3"/>
  <c r="K170" i="3" s="1"/>
  <c r="I63" i="3"/>
  <c r="K63" i="3" s="1"/>
  <c r="I16" i="3"/>
  <c r="K16" i="3" s="1"/>
  <c r="I64" i="3"/>
  <c r="K64" i="3" s="1"/>
  <c r="I65" i="3"/>
  <c r="K65" i="3" s="1"/>
  <c r="I66" i="3"/>
  <c r="K66" i="3" s="1"/>
  <c r="I67" i="3"/>
  <c r="K67" i="3" s="1"/>
  <c r="I68" i="3"/>
  <c r="K68" i="3" s="1"/>
  <c r="I69" i="3"/>
  <c r="K69" i="3" s="1"/>
  <c r="I70" i="3"/>
  <c r="K70" i="3" s="1"/>
  <c r="I71" i="3"/>
  <c r="K71" i="3" s="1"/>
  <c r="I171" i="3"/>
  <c r="K171" i="3" s="1"/>
  <c r="I72" i="3"/>
  <c r="K72" i="3" s="1"/>
  <c r="I181" i="3"/>
  <c r="K181" i="3" s="1"/>
  <c r="I5" i="3"/>
  <c r="K5" i="3" s="1"/>
  <c r="I73" i="3"/>
  <c r="K73" i="3" s="1"/>
  <c r="I74" i="3"/>
  <c r="K74" i="3" s="1"/>
  <c r="I75" i="3"/>
  <c r="K75" i="3" s="1"/>
  <c r="I182" i="3"/>
  <c r="K182" i="3" s="1"/>
  <c r="I76" i="3"/>
  <c r="K76" i="3" s="1"/>
  <c r="I77" i="3"/>
  <c r="K77" i="3" s="1"/>
  <c r="I78" i="3"/>
  <c r="K78" i="3" s="1"/>
  <c r="I172" i="3"/>
  <c r="K172" i="3" s="1"/>
  <c r="I79" i="3"/>
  <c r="K79" i="3" s="1"/>
  <c r="I80" i="3"/>
  <c r="K80" i="3" s="1"/>
  <c r="I81" i="3"/>
  <c r="K81" i="3" s="1"/>
  <c r="I82" i="3"/>
  <c r="K82" i="3" s="1"/>
  <c r="I83" i="3"/>
  <c r="K83" i="3" s="1"/>
  <c r="I84" i="3"/>
  <c r="K84" i="3" s="1"/>
  <c r="I85" i="3"/>
  <c r="K85" i="3" s="1"/>
  <c r="I86" i="3"/>
  <c r="K86" i="3" s="1"/>
  <c r="I87" i="3"/>
  <c r="K87" i="3" s="1"/>
  <c r="I88" i="3"/>
  <c r="K88" i="3" s="1"/>
  <c r="I89" i="3"/>
  <c r="K89" i="3" s="1"/>
  <c r="I90" i="3"/>
  <c r="K90" i="3" s="1"/>
  <c r="I183" i="3"/>
  <c r="K183" i="3" s="1"/>
  <c r="I91" i="3"/>
  <c r="K91" i="3" s="1"/>
  <c r="I92" i="3"/>
  <c r="K92" i="3" s="1"/>
  <c r="I93" i="3"/>
  <c r="K93" i="3" s="1"/>
  <c r="I94" i="3"/>
  <c r="K94" i="3" s="1"/>
  <c r="I95" i="3"/>
  <c r="K95" i="3" s="1"/>
  <c r="I17" i="3"/>
  <c r="K17" i="3" s="1"/>
  <c r="I96" i="3"/>
  <c r="K96" i="3" s="1"/>
  <c r="I18" i="3"/>
  <c r="K18" i="3" s="1"/>
  <c r="I97" i="3"/>
  <c r="K97" i="3" s="1"/>
  <c r="I98" i="3"/>
  <c r="K98" i="3" s="1"/>
  <c r="I173" i="3"/>
  <c r="K173" i="3" s="1"/>
  <c r="I99" i="3"/>
  <c r="K99" i="3" s="1"/>
  <c r="I100" i="3"/>
  <c r="K100" i="3" s="1"/>
  <c r="I19" i="3"/>
  <c r="K19" i="3" s="1"/>
  <c r="I101" i="3"/>
  <c r="K101" i="3" s="1"/>
  <c r="I102" i="3"/>
  <c r="K102" i="3" s="1"/>
  <c r="I103" i="3"/>
  <c r="K103" i="3" s="1"/>
  <c r="I174" i="3"/>
  <c r="K174" i="3" s="1"/>
  <c r="I104" i="3"/>
  <c r="K104" i="3" s="1"/>
  <c r="I105" i="3"/>
  <c r="K105" i="3" s="1"/>
  <c r="I106" i="3"/>
  <c r="K106" i="3" s="1"/>
  <c r="I20" i="3"/>
  <c r="K20" i="3" s="1"/>
  <c r="I107" i="3"/>
  <c r="K107" i="3" s="1"/>
  <c r="I108" i="3"/>
  <c r="K108" i="3" s="1"/>
  <c r="I109" i="3"/>
  <c r="K109" i="3" s="1"/>
  <c r="I110" i="3"/>
  <c r="K110" i="3" s="1"/>
  <c r="I111" i="3"/>
  <c r="K111" i="3" s="1"/>
  <c r="I112" i="3"/>
  <c r="K112" i="3" s="1"/>
  <c r="I175" i="3"/>
  <c r="K175" i="3" s="1"/>
  <c r="I113" i="3"/>
  <c r="K113" i="3" s="1"/>
  <c r="I114" i="3"/>
  <c r="K114" i="3" s="1"/>
  <c r="I115" i="3"/>
  <c r="K115" i="3" s="1"/>
  <c r="I6" i="3"/>
  <c r="K6" i="3" s="1"/>
  <c r="I116" i="3"/>
  <c r="K116" i="3" s="1"/>
  <c r="I117" i="3"/>
  <c r="K117" i="3" s="1"/>
  <c r="I118" i="3"/>
  <c r="K118" i="3" s="1"/>
  <c r="I119" i="3"/>
  <c r="K119" i="3" s="1"/>
  <c r="I184" i="3"/>
  <c r="K184" i="3" s="1"/>
  <c r="I120" i="3"/>
  <c r="K120" i="3" s="1"/>
  <c r="I121" i="3"/>
  <c r="K121" i="3" s="1"/>
  <c r="I21" i="3"/>
  <c r="K21" i="3" s="1"/>
  <c r="I176" i="3"/>
  <c r="K176" i="3" s="1"/>
  <c r="I122" i="3"/>
  <c r="K122" i="3" s="1"/>
  <c r="I123" i="3"/>
  <c r="K123" i="3" s="1"/>
  <c r="I124" i="3"/>
  <c r="K124" i="3" s="1"/>
  <c r="I125" i="3"/>
  <c r="K125" i="3" s="1"/>
  <c r="I177" i="3"/>
  <c r="K177" i="3" s="1"/>
  <c r="I126" i="3"/>
  <c r="K126" i="3" s="1"/>
  <c r="I127" i="3"/>
  <c r="K127" i="3" s="1"/>
  <c r="I128" i="3"/>
  <c r="K128" i="3" s="1"/>
  <c r="I129" i="3"/>
  <c r="K129" i="3" s="1"/>
  <c r="I130" i="3"/>
  <c r="K130" i="3" s="1"/>
  <c r="I131" i="3"/>
  <c r="K131" i="3" s="1"/>
  <c r="I178" i="3"/>
  <c r="K178" i="3" s="1"/>
  <c r="I22" i="3"/>
  <c r="K22" i="3" s="1"/>
  <c r="I132" i="3"/>
  <c r="K132" i="3" s="1"/>
  <c r="I133" i="3"/>
  <c r="K133" i="3" s="1"/>
  <c r="I23" i="3"/>
  <c r="K23" i="3" s="1"/>
  <c r="I134" i="3"/>
  <c r="K134" i="3" s="1"/>
  <c r="I135" i="3"/>
  <c r="K135" i="3" s="1"/>
  <c r="I136" i="3"/>
  <c r="K136" i="3" s="1"/>
  <c r="I137" i="3"/>
  <c r="K137" i="3" s="1"/>
  <c r="I7" i="3"/>
  <c r="K7" i="3" s="1"/>
  <c r="I185" i="3"/>
  <c r="K185" i="3" s="1"/>
  <c r="I138" i="3"/>
  <c r="K138" i="3" s="1"/>
  <c r="I139" i="3"/>
  <c r="K139" i="3" s="1"/>
  <c r="I24" i="3"/>
  <c r="K24" i="3" s="1"/>
  <c r="I140" i="3"/>
  <c r="K140" i="3" s="1"/>
  <c r="I141" i="3"/>
  <c r="K141" i="3" s="1"/>
  <c r="I142" i="3"/>
  <c r="K142" i="3" s="1"/>
  <c r="I143" i="3"/>
  <c r="K143" i="3" s="1"/>
  <c r="I25" i="3"/>
  <c r="K25" i="3" s="1"/>
  <c r="I26" i="3"/>
  <c r="K26" i="3" s="1"/>
  <c r="I144" i="3"/>
  <c r="K144" i="3" s="1"/>
  <c r="I145" i="3"/>
  <c r="K145" i="3" s="1"/>
  <c r="I146" i="3"/>
  <c r="K146" i="3" s="1"/>
  <c r="I147" i="3"/>
  <c r="K147" i="3" s="1"/>
  <c r="I148" i="3"/>
  <c r="K148" i="3" s="1"/>
  <c r="I179" i="3"/>
  <c r="K179" i="3" s="1"/>
  <c r="I149" i="3"/>
  <c r="K149" i="3" s="1"/>
  <c r="I150" i="3"/>
  <c r="K150" i="3" s="1"/>
  <c r="I151" i="3"/>
  <c r="K151" i="3" s="1"/>
  <c r="I152" i="3"/>
  <c r="K152" i="3" s="1"/>
  <c r="I153" i="3"/>
  <c r="K153" i="3" s="1"/>
  <c r="I27" i="3"/>
  <c r="K27" i="3" s="1"/>
  <c r="I154" i="3"/>
  <c r="K154" i="3" s="1"/>
  <c r="I155" i="3"/>
  <c r="K155" i="3" s="1"/>
  <c r="I156" i="3"/>
  <c r="K156" i="3" s="1"/>
  <c r="I157" i="3"/>
  <c r="K157" i="3" s="1"/>
  <c r="I186" i="3"/>
  <c r="K186" i="3" s="1"/>
  <c r="I158" i="3"/>
  <c r="K158" i="3" s="1"/>
  <c r="I159" i="3"/>
  <c r="K159" i="3" s="1"/>
  <c r="I160" i="3"/>
  <c r="K160" i="3" s="1"/>
  <c r="I161" i="3"/>
  <c r="K161" i="3" s="1"/>
  <c r="I162" i="3"/>
  <c r="K162" i="3" s="1"/>
  <c r="I163" i="3"/>
  <c r="K163" i="3" s="1"/>
  <c r="I180" i="3"/>
  <c r="K180" i="3" s="1"/>
  <c r="I164" i="3"/>
  <c r="K164" i="3" s="1"/>
  <c r="P7" i="3"/>
  <c r="P6" i="3"/>
  <c r="P5" i="3"/>
  <c r="D115" i="2"/>
  <c r="E103" i="1"/>
  <c r="H115" i="2"/>
  <c r="G103" i="1"/>
  <c r="H103" i="1"/>
  <c r="V39" i="11" l="1"/>
  <c r="V35" i="11"/>
  <c r="V31" i="11"/>
  <c r="V27" i="11"/>
  <c r="V23" i="11"/>
  <c r="V19" i="11"/>
  <c r="V15" i="11"/>
  <c r="V11" i="11"/>
  <c r="V7" i="11"/>
  <c r="V38" i="11"/>
  <c r="V34" i="11"/>
  <c r="V30" i="11"/>
  <c r="V26" i="11"/>
  <c r="V22" i="11"/>
  <c r="V18" i="11"/>
  <c r="V14" i="11"/>
  <c r="V10" i="11"/>
  <c r="V6" i="11"/>
  <c r="V37" i="11"/>
  <c r="V33" i="11"/>
  <c r="V29" i="11"/>
  <c r="V25" i="11"/>
  <c r="V21" i="11"/>
  <c r="V17" i="11"/>
  <c r="V13" i="11"/>
  <c r="V9" i="11"/>
  <c r="V5" i="11"/>
  <c r="V36" i="11"/>
  <c r="V32" i="11"/>
  <c r="V28" i="11"/>
  <c r="V24" i="11"/>
  <c r="V20" i="11"/>
  <c r="V16" i="11"/>
  <c r="V12" i="11"/>
  <c r="K35" i="3"/>
  <c r="B9" i="4" s="1" a="1"/>
  <c r="C7" i="4" s="1"/>
  <c r="P10" i="3"/>
  <c r="P8" i="3"/>
  <c r="B9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3045DD-F5C1-4718-B989-A6FEB9A41029}" keepAlive="1" name="Query - India_staff" description="Connection to the 'India_staff' query in the workbook." type="5" refreshedVersion="0" background="1">
    <dbPr connection="Provider=Microsoft.Mashup.OleDb.1;Data Source=$Workbook$;Location=India_staff;Extended Properties=&quot;&quot;" command="SELECT * FROM [India_staff]"/>
  </connection>
  <connection id="2" xr16:uid="{614E9818-3D71-4633-B021-67973D268B0A}" keepAlive="1" name="Query - Nz_staff" description="Connection to the 'Nz_staff' query in the workbook." type="5" refreshedVersion="0" background="1">
    <dbPr connection="Provider=Microsoft.Mashup.OleDb.1;Data Source=$Workbook$;Location=Nz_staff;Extended Properties=&quot;&quot;" command="SELECT * FROM [Nz_staff]"/>
  </connection>
  <connection id="3" xr16:uid="{CBC89921-7E60-4687-9C14-E58225E7F8B9}" keepAlive="1" name="Query - Staff" description="Connection to the 'Staff' query in the workbook." type="5" refreshedVersion="7" background="1" saveData="1">
    <dbPr connection="Provider=Microsoft.Mashup.OleDb.1;Data Source=$Workbook$;Location=Staff;Extended Properties=&quot;&quot;" command="SELECT * FROM [Staff]"/>
  </connection>
  <connection id="4" xr16:uid="{59AAF2AD-987D-4387-BE0E-1179ACCD8EBC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FBFF984E-A8ED-4F0B-9364-1E0A025A2174}" name="WorksheetConnection_Staff Project.xlsx!Staff" type="102" refreshedVersion="7" minRefreshableVersion="5">
    <extLst>
      <ext xmlns:x15="http://schemas.microsoft.com/office/spreadsheetml/2010/11/main" uri="{DE250136-89BD-433C-8126-D09CA5730AF9}">
        <x15:connection id="Staff" autoDelete="1">
          <x15:rangePr sourceName="_xlcn.WorksheetConnection_StaffProject.xlsxStaff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Staff].[Country].&amp;[NZ]}"/>
    <s v="{[Staff].[Country].&amp;[IN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<sst xmlns="http://schemas.openxmlformats.org/spreadsheetml/2006/main" count="1876" uniqueCount="247">
  <si>
    <t>Name</t>
  </si>
  <si>
    <t>Gender</t>
  </si>
  <si>
    <t>Department</t>
  </si>
  <si>
    <t>Age</t>
  </si>
  <si>
    <t>Date Joined</t>
  </si>
  <si>
    <t>Salary</t>
  </si>
  <si>
    <t>Rating</t>
  </si>
  <si>
    <t>Lindy Guillet</t>
  </si>
  <si>
    <t>Male</t>
  </si>
  <si>
    <t>Sales</t>
  </si>
  <si>
    <t>Above average</t>
  </si>
  <si>
    <t>Ambros Murthwaite</t>
  </si>
  <si>
    <t>Procurement</t>
  </si>
  <si>
    <t>Average</t>
  </si>
  <si>
    <t>Tatum Hush</t>
  </si>
  <si>
    <t>Female</t>
  </si>
  <si>
    <t>Benny Karolovsky</t>
  </si>
  <si>
    <t>Finance</t>
  </si>
  <si>
    <t>Poor</t>
  </si>
  <si>
    <t>Hoyt D'Alesco</t>
  </si>
  <si>
    <t>Halimeda Kuscha</t>
  </si>
  <si>
    <t>Erin Androsik</t>
  </si>
  <si>
    <t>Vic Radolf</t>
  </si>
  <si>
    <t>Website</t>
  </si>
  <si>
    <t>William Reeveley</t>
  </si>
  <si>
    <t>Ewart Laphorn</t>
  </si>
  <si>
    <t>HR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</si>
  <si>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</si>
  <si>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</si>
  <si>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</si>
  <si>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</si>
  <si>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</si>
  <si>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</si>
  <si>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</si>
  <si>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</si>
  <si>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</si>
  <si>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</si>
  <si>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</si>
  <si>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</si>
  <si>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</si>
  <si>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</si>
  <si>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</si>
  <si>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</si>
  <si>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Exceptional</t>
  </si>
  <si>
    <t>Merrilee Plenty</t>
  </si>
  <si>
    <t>Niall Selesnick</t>
  </si>
  <si>
    <t>Beverie Moffet</t>
  </si>
  <si>
    <t>Jehu Rudeforth</t>
  </si>
  <si>
    <t>Camilla Castle</t>
  </si>
  <si>
    <t>Very poor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</si>
  <si>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</si>
  <si>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</si>
  <si>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</si>
  <si>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</si>
  <si>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</si>
  <si>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</si>
  <si>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</si>
  <si>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</si>
  <si>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</si>
  <si>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</si>
  <si>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</si>
  <si>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</si>
  <si>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</si>
  <si>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</si>
  <si>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</si>
  <si>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</si>
  <si>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</si>
  <si>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</si>
  <si>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</si>
  <si>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</si>
  <si>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</si>
  <si>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</si>
  <si>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</si>
  <si>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</si>
  <si>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</si>
  <si>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</si>
  <si>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</si>
  <si>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</si>
  <si>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</si>
  <si>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</si>
  <si>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</si>
  <si>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</si>
  <si>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</si>
  <si>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</si>
  <si>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</si>
  <si>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</si>
  <si>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</si>
  <si>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</si>
  <si>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</si>
  <si>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</si>
  <si>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</si>
  <si>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</si>
  <si>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</si>
  <si>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</si>
  <si>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</si>
  <si>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</si>
  <si>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</si>
  <si>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</si>
  <si>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</si>
  <si>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</si>
  <si>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</si>
  <si>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</si>
  <si>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</si>
  <si>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</si>
  <si>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</si>
  <si>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</si>
  <si>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</si>
  <si>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</si>
  <si>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</si>
  <si>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</si>
  <si>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Deepali Charan</t>
  </si>
  <si>
    <t>Yagna Sujeev</t>
  </si>
  <si>
    <t>Satyendra Venkatadri</t>
  </si>
  <si>
    <t>Madhavdas Buhpathi</t>
  </si>
  <si>
    <t>Sahila Chandrasekhar</t>
  </si>
  <si>
    <t>Mirium Seemantini Shivakumar</t>
  </si>
  <si>
    <t>Purnendu Vijayarangan</t>
  </si>
  <si>
    <t>Rukma Vinita</t>
  </si>
  <si>
    <t>Yauvani Tarpa</t>
  </si>
  <si>
    <t>Damayanti Thangavadivelu</t>
  </si>
  <si>
    <t>Manjusri Ruchi</t>
  </si>
  <si>
    <t>Mithil Nadkarni</t>
  </si>
  <si>
    <t>Ardhendu Abhichandra Jayakar</t>
  </si>
  <si>
    <t>Akbar Sorabhjee</t>
  </si>
  <si>
    <t>Bandhula Sathyanna</t>
  </si>
  <si>
    <t>Daruka Ghazali</t>
  </si>
  <si>
    <t>Heer Pennathur</t>
  </si>
  <si>
    <t>Shekhar Eswara</t>
  </si>
  <si>
    <t>Udyan Lanka</t>
  </si>
  <si>
    <t>Shreela Ramasubraman</t>
  </si>
  <si>
    <t>Sanchali Shirish</t>
  </si>
  <si>
    <t>Gangadutt Ragha</t>
  </si>
  <si>
    <t>Waheeda Vasuman</t>
  </si>
  <si>
    <t>Nanak Sapna</t>
  </si>
  <si>
    <t>Shobhana Samuel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</si>
  <si>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</si>
  <si>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</si>
  <si>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</si>
  <si>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</si>
  <si>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</si>
  <si>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</si>
  <si>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</si>
  <si>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</si>
  <si>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</si>
  <si>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</si>
  <si>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</si>
  <si>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</si>
  <si>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</si>
  <si>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</si>
  <si>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</si>
  <si>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</si>
  <si>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</si>
  <si>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</si>
  <si>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</si>
  <si>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</si>
  <si>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</si>
  <si>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</si>
  <si>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</si>
  <si>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</si>
  <si>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</si>
  <si>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</si>
  <si>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</si>
  <si>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</si>
  <si>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</si>
  <si>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</si>
  <si>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</si>
  <si>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</si>
  <si>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</si>
  <si>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</si>
  <si>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</si>
  <si>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</si>
  <si>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</si>
  <si>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</si>
  <si>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</si>
  <si>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</si>
  <si>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</si>
  <si>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</si>
  <si>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</si>
  <si>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</si>
  <si>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</si>
  <si>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</si>
  <si>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</si>
  <si>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</si>
  <si>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</si>
  <si>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</si>
  <si>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</si>
  <si>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</si>
  <si>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</si>
  <si>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</si>
  <si>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</si>
  <si>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</si>
  <si>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</si>
  <si>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</si>
  <si>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</si>
  <si>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</si>
  <si>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</si>
  <si>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</si>
  <si>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</si>
  <si>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</si>
  <si>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</si>
  <si>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</si>
  <si>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</si>
  <si>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Total</t>
  </si>
  <si>
    <t>Country</t>
  </si>
  <si>
    <t>IN</t>
  </si>
  <si>
    <t>Other</t>
  </si>
  <si>
    <t>NZ</t>
  </si>
  <si>
    <t>Count of Employees</t>
  </si>
  <si>
    <t>Average Salary</t>
  </si>
  <si>
    <t>Average Tenure</t>
  </si>
  <si>
    <t>Average Age</t>
  </si>
  <si>
    <t>Tenure</t>
  </si>
  <si>
    <t xml:space="preserve">Female count </t>
  </si>
  <si>
    <t>Female %</t>
  </si>
  <si>
    <t xml:space="preserve"> </t>
  </si>
  <si>
    <t>Department NAME :</t>
  </si>
  <si>
    <t>No.of people</t>
  </si>
  <si>
    <t>Row Labels</t>
  </si>
  <si>
    <t>Grand Total</t>
  </si>
  <si>
    <t>Average of Salary</t>
  </si>
  <si>
    <t>Average of Tenure</t>
  </si>
  <si>
    <t>Average of Age</t>
  </si>
  <si>
    <t>Bonus</t>
  </si>
  <si>
    <t>Count of Name</t>
  </si>
  <si>
    <t>Rating as number</t>
  </si>
  <si>
    <t>2020</t>
  </si>
  <si>
    <t>2021</t>
  </si>
  <si>
    <t>2022</t>
  </si>
  <si>
    <t>2023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</si>
  <si>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</si>
  <si>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</si>
  <si>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</si>
  <si>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</si>
  <si>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</si>
  <si>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</si>
  <si>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</si>
  <si>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</si>
  <si>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</si>
  <si>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</si>
  <si>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</si>
  <si>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</si>
  <si>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Date</t>
  </si>
  <si>
    <t>Month</t>
  </si>
  <si>
    <t>Head Count</t>
  </si>
  <si>
    <t>Running Total</t>
  </si>
  <si>
    <t>New Zealand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</si>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</sst>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_ ;_-[$$-409]* \-#,##0\ ;_-[$$-409]* &quot;-&quot;_ ;_-@_ "/>
    <numFmt numFmtId="165" formatCode="0.0"/>
    <numFmt numFmtId="166" formatCode="_-[$$-409]* #,##0.00_ ;_-[$$-409]* \-#,##0.00\ ;_-[$$-409]* &quot;-&quot;??_ ;_-@_ "/>
    <numFmt numFmtId="167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8"/>
      <color theme="1"/>
      <name val="Segoe UI Light"/>
      <family val="2"/>
    </font>
    <font>
      <sz val="48"/>
      <color theme="0"/>
      <name val="Segoe UI Black"/>
      <family val="2"/>
    </font>
    <font>
      <sz val="22"/>
      <color theme="0"/>
      <name val="Segoe UI Black"/>
      <family val="2"/>
    </font>
    <font>
      <sz val="48"/>
      <color theme="1"/>
      <name val="Segoe UI Black"/>
      <family val="2"/>
    </font>
    <font>
      <sz val="11"/>
      <color theme="1"/>
      <name val="Segoe UI Black"/>
      <family val="2"/>
    </font>
    <font>
      <sz val="22"/>
      <color theme="1"/>
      <name val="Segoe UI Black"/>
      <family val="2"/>
    </font>
    <font>
      <sz val="28"/>
      <color theme="0"/>
      <name val="Segoe UI Black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top"/>
    </xf>
    <xf numFmtId="0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4" fontId="0" fillId="0" borderId="0" xfId="0" applyNumberFormat="1"/>
    <xf numFmtId="1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14" fontId="0" fillId="0" borderId="0" xfId="0" applyNumberFormat="1" applyAlignment="1">
      <alignment horizontal="left"/>
    </xf>
    <xf numFmtId="0" fontId="0" fillId="0" borderId="0" xfId="0" pivotButton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left" indent="1"/>
    </xf>
    <xf numFmtId="166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/>
    </xf>
    <xf numFmtId="0" fontId="3" fillId="4" borderId="0" xfId="0" applyFont="1" applyFill="1" applyAlignment="1">
      <alignment horizontal="center" vertical="center"/>
    </xf>
    <xf numFmtId="167" fontId="4" fillId="4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167" fontId="7" fillId="2" borderId="0" xfId="0" applyNumberFormat="1" applyFont="1" applyFill="1" applyAlignment="1">
      <alignment horizontal="center" vertical="center"/>
    </xf>
    <xf numFmtId="9" fontId="8" fillId="4" borderId="0" xfId="0" applyNumberFormat="1" applyFont="1" applyFill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9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43"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165" formatCode="0.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66" formatCode="_-[$$-409]* #,##0.00_ ;_-[$$-409]* \-#,##0.00\ ;_-[$$-409]* &quot;-&quot;??_ ;_-@_ "/>
    </dxf>
    <dxf>
      <numFmt numFmtId="1" formatCode="0"/>
    </dxf>
    <dxf>
      <numFmt numFmtId="164" formatCode="_-[$$-409]* #,##0_ ;_-[$$-409]* \-#,##0\ ;_-[$$-409]* &quot;-&quot;_ ;_-@_ "/>
      <alignment horizontal="left" vertical="bottom" textRotation="0" wrapText="0" indent="0" justifyLastLine="0" shrinkToFit="0" readingOrder="0"/>
    </dxf>
    <dxf>
      <numFmt numFmtId="164" formatCode="_-[$$-409]* #,##0_ ;_-[$$-409]* \-#,##0\ ;_-[$$-409]* &quot;-&quot;_ ;_-@_ 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d/mmm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_-[$$-409]* #,##0_ ;_-[$$-409]* \-#,##0\ ;_-[$$-409]* &quot;-&quot;_ ;_-@_ "/>
      <alignment horizontal="left" vertical="top" textRotation="0" wrapText="0" indent="0" justifyLastLine="0" shrinkToFit="0" readingOrder="0"/>
    </dxf>
    <dxf>
      <numFmt numFmtId="164" formatCode="_-[$$-409]* #,##0_ ;_-[$$-409]* \-#,##0\ ;_-[$$-409]* &quot;-&quot;_ ;_-@_ 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 Staff'!$L$1:$L$2</c:f>
              <c:strCache>
                <c:ptCount val="2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'All Staff'!$H$3:$H$187</c:f>
              <c:strCache>
                <c:ptCount val="184"/>
                <c:pt idx="0">
                  <c:v>Salary</c:v>
                </c:pt>
                <c:pt idx="1">
                  <c:v>75000</c:v>
                </c:pt>
                <c:pt idx="2">
                  <c:v>109160</c:v>
                </c:pt>
                <c:pt idx="3">
                  <c:v>75000</c:v>
                </c:pt>
                <c:pt idx="4">
                  <c:v>109160</c:v>
                </c:pt>
                <c:pt idx="5">
                  <c:v>43840</c:v>
                </c:pt>
                <c:pt idx="6">
                  <c:v>56870</c:v>
                </c:pt>
                <c:pt idx="7">
                  <c:v>109190</c:v>
                </c:pt>
                <c:pt idx="8">
                  <c:v>48170</c:v>
                </c:pt>
                <c:pt idx="9">
                  <c:v>76900</c:v>
                </c:pt>
                <c:pt idx="10">
                  <c:v>80700</c:v>
                </c:pt>
                <c:pt idx="11">
                  <c:v>112780</c:v>
                </c:pt>
                <c:pt idx="12">
                  <c:v>91650</c:v>
                </c:pt>
                <c:pt idx="13">
                  <c:v>90700</c:v>
                </c:pt>
                <c:pt idx="14">
                  <c:v>48530</c:v>
                </c:pt>
                <c:pt idx="15">
                  <c:v>112780</c:v>
                </c:pt>
                <c:pt idx="16">
                  <c:v>48530</c:v>
                </c:pt>
                <c:pt idx="17">
                  <c:v>43840</c:v>
                </c:pt>
                <c:pt idx="18">
                  <c:v>109190</c:v>
                </c:pt>
                <c:pt idx="19">
                  <c:v>80700</c:v>
                </c:pt>
                <c:pt idx="20">
                  <c:v>48170</c:v>
                </c:pt>
                <c:pt idx="21">
                  <c:v>76900</c:v>
                </c:pt>
                <c:pt idx="22">
                  <c:v>90700</c:v>
                </c:pt>
                <c:pt idx="23">
                  <c:v>56870</c:v>
                </c:pt>
                <c:pt idx="24">
                  <c:v>91650</c:v>
                </c:pt>
                <c:pt idx="25">
                  <c:v>112650</c:v>
                </c:pt>
                <c:pt idx="26">
                  <c:v>103550</c:v>
                </c:pt>
                <c:pt idx="27">
                  <c:v>45510</c:v>
                </c:pt>
                <c:pt idx="28">
                  <c:v>92700</c:v>
                </c:pt>
                <c:pt idx="29">
                  <c:v>91310</c:v>
                </c:pt>
                <c:pt idx="30">
                  <c:v>74550</c:v>
                </c:pt>
                <c:pt idx="31">
                  <c:v>104410</c:v>
                </c:pt>
                <c:pt idx="32">
                  <c:v>96800</c:v>
                </c:pt>
                <c:pt idx="33">
                  <c:v>37920</c:v>
                </c:pt>
                <c:pt idx="34">
                  <c:v>112650</c:v>
                </c:pt>
                <c:pt idx="35">
                  <c:v>118840</c:v>
                </c:pt>
                <c:pt idx="36">
                  <c:v>69710</c:v>
                </c:pt>
                <c:pt idx="37">
                  <c:v>79570</c:v>
                </c:pt>
                <c:pt idx="38">
                  <c:v>54970</c:v>
                </c:pt>
                <c:pt idx="39">
                  <c:v>36040</c:v>
                </c:pt>
                <c:pt idx="40">
                  <c:v>40400</c:v>
                </c:pt>
                <c:pt idx="41">
                  <c:v>100420</c:v>
                </c:pt>
                <c:pt idx="42">
                  <c:v>58100</c:v>
                </c:pt>
                <c:pt idx="43">
                  <c:v>114870</c:v>
                </c:pt>
                <c:pt idx="44">
                  <c:v>41570</c:v>
                </c:pt>
                <c:pt idx="45">
                  <c:v>112570</c:v>
                </c:pt>
                <c:pt idx="46">
                  <c:v>47360</c:v>
                </c:pt>
                <c:pt idx="47">
                  <c:v>65920</c:v>
                </c:pt>
                <c:pt idx="48">
                  <c:v>99970</c:v>
                </c:pt>
                <c:pt idx="49">
                  <c:v>119110</c:v>
                </c:pt>
                <c:pt idx="50">
                  <c:v>114890</c:v>
                </c:pt>
                <c:pt idx="51">
                  <c:v>48980</c:v>
                </c:pt>
                <c:pt idx="52">
                  <c:v>75880</c:v>
                </c:pt>
                <c:pt idx="53">
                  <c:v>53240</c:v>
                </c:pt>
                <c:pt idx="54">
                  <c:v>85000</c:v>
                </c:pt>
                <c:pt idx="55">
                  <c:v>33920</c:v>
                </c:pt>
                <c:pt idx="56">
                  <c:v>75280</c:v>
                </c:pt>
                <c:pt idx="57">
                  <c:v>58940</c:v>
                </c:pt>
                <c:pt idx="58">
                  <c:v>104770</c:v>
                </c:pt>
                <c:pt idx="59">
                  <c:v>57090</c:v>
                </c:pt>
                <c:pt idx="60">
                  <c:v>75970</c:v>
                </c:pt>
                <c:pt idx="61">
                  <c:v>60570</c:v>
                </c:pt>
                <c:pt idx="62">
                  <c:v>115920</c:v>
                </c:pt>
                <c:pt idx="63">
                  <c:v>65360</c:v>
                </c:pt>
                <c:pt idx="64">
                  <c:v>64000</c:v>
                </c:pt>
                <c:pt idx="65">
                  <c:v>92450</c:v>
                </c:pt>
                <c:pt idx="66">
                  <c:v>48950</c:v>
                </c:pt>
                <c:pt idx="67">
                  <c:v>83750</c:v>
                </c:pt>
                <c:pt idx="68">
                  <c:v>87620</c:v>
                </c:pt>
                <c:pt idx="69">
                  <c:v>53540</c:v>
                </c:pt>
                <c:pt idx="70">
                  <c:v>99750</c:v>
                </c:pt>
                <c:pt idx="71">
                  <c:v>41980</c:v>
                </c:pt>
                <c:pt idx="72">
                  <c:v>71380</c:v>
                </c:pt>
                <c:pt idx="73">
                  <c:v>86570</c:v>
                </c:pt>
                <c:pt idx="74">
                  <c:v>53540</c:v>
                </c:pt>
                <c:pt idx="75">
                  <c:v>69070</c:v>
                </c:pt>
                <c:pt idx="76">
                  <c:v>69120</c:v>
                </c:pt>
                <c:pt idx="77">
                  <c:v>60130</c:v>
                </c:pt>
                <c:pt idx="78">
                  <c:v>106460</c:v>
                </c:pt>
                <c:pt idx="79">
                  <c:v>118100</c:v>
                </c:pt>
                <c:pt idx="80">
                  <c:v>78390</c:v>
                </c:pt>
                <c:pt idx="81">
                  <c:v>114180</c:v>
                </c:pt>
                <c:pt idx="82">
                  <c:v>104120</c:v>
                </c:pt>
                <c:pt idx="83">
                  <c:v>67950</c:v>
                </c:pt>
                <c:pt idx="84">
                  <c:v>34980</c:v>
                </c:pt>
                <c:pt idx="85">
                  <c:v>62780</c:v>
                </c:pt>
                <c:pt idx="86">
                  <c:v>107700</c:v>
                </c:pt>
                <c:pt idx="87">
                  <c:v>65700</c:v>
                </c:pt>
                <c:pt idx="88">
                  <c:v>53870</c:v>
                </c:pt>
                <c:pt idx="89">
                  <c:v>78540</c:v>
                </c:pt>
                <c:pt idx="90">
                  <c:v>58960</c:v>
                </c:pt>
                <c:pt idx="91">
                  <c:v>70610</c:v>
                </c:pt>
                <c:pt idx="92">
                  <c:v>59430</c:v>
                </c:pt>
                <c:pt idx="93">
                  <c:v>96140</c:v>
                </c:pt>
                <c:pt idx="94">
                  <c:v>70610</c:v>
                </c:pt>
                <c:pt idx="95">
                  <c:v>53240</c:v>
                </c:pt>
                <c:pt idx="96">
                  <c:v>53540</c:v>
                </c:pt>
                <c:pt idx="97">
                  <c:v>112570</c:v>
                </c:pt>
                <c:pt idx="98">
                  <c:v>62780</c:v>
                </c:pt>
                <c:pt idx="99">
                  <c:v>53870</c:v>
                </c:pt>
                <c:pt idx="100">
                  <c:v>119110</c:v>
                </c:pt>
                <c:pt idx="101">
                  <c:v>65700</c:v>
                </c:pt>
                <c:pt idx="102">
                  <c:v>69070</c:v>
                </c:pt>
                <c:pt idx="103">
                  <c:v>107700</c:v>
                </c:pt>
                <c:pt idx="104">
                  <c:v>99750</c:v>
                </c:pt>
                <c:pt idx="105">
                  <c:v>37920</c:v>
                </c:pt>
                <c:pt idx="106">
                  <c:v>57090</c:v>
                </c:pt>
                <c:pt idx="107">
                  <c:v>41980</c:v>
                </c:pt>
                <c:pt idx="108">
                  <c:v>75880</c:v>
                </c:pt>
                <c:pt idx="109">
                  <c:v>58940</c:v>
                </c:pt>
                <c:pt idx="110">
                  <c:v>58100</c:v>
                </c:pt>
                <c:pt idx="111">
                  <c:v>48980</c:v>
                </c:pt>
                <c:pt idx="112">
                  <c:v>64000</c:v>
                </c:pt>
                <c:pt idx="113">
                  <c:v>87620</c:v>
                </c:pt>
                <c:pt idx="114">
                  <c:v>34980</c:v>
                </c:pt>
                <c:pt idx="115">
                  <c:v>75970</c:v>
                </c:pt>
                <c:pt idx="116">
                  <c:v>60130</c:v>
                </c:pt>
                <c:pt idx="117">
                  <c:v>115920</c:v>
                </c:pt>
                <c:pt idx="118">
                  <c:v>78540</c:v>
                </c:pt>
                <c:pt idx="119">
                  <c:v>99970</c:v>
                </c:pt>
                <c:pt idx="120">
                  <c:v>96140</c:v>
                </c:pt>
                <c:pt idx="121">
                  <c:v>103550</c:v>
                </c:pt>
                <c:pt idx="122">
                  <c:v>48950</c:v>
                </c:pt>
                <c:pt idx="123">
                  <c:v>78390</c:v>
                </c:pt>
                <c:pt idx="124">
                  <c:v>86570</c:v>
                </c:pt>
                <c:pt idx="125">
                  <c:v>83750</c:v>
                </c:pt>
                <c:pt idx="126">
                  <c:v>92450</c:v>
                </c:pt>
                <c:pt idx="127">
                  <c:v>112650</c:v>
                </c:pt>
                <c:pt idx="128">
                  <c:v>79570</c:v>
                </c:pt>
                <c:pt idx="129">
                  <c:v>58960</c:v>
                </c:pt>
                <c:pt idx="130">
                  <c:v>118840</c:v>
                </c:pt>
                <c:pt idx="131">
                  <c:v>45510</c:v>
                </c:pt>
                <c:pt idx="132">
                  <c:v>114890</c:v>
                </c:pt>
                <c:pt idx="133">
                  <c:v>69710</c:v>
                </c:pt>
                <c:pt idx="134">
                  <c:v>71380</c:v>
                </c:pt>
                <c:pt idx="135">
                  <c:v>69120</c:v>
                </c:pt>
                <c:pt idx="136">
                  <c:v>118100</c:v>
                </c:pt>
                <c:pt idx="137">
                  <c:v>114870</c:v>
                </c:pt>
                <c:pt idx="138">
                  <c:v>91310</c:v>
                </c:pt>
                <c:pt idx="139">
                  <c:v>104770</c:v>
                </c:pt>
                <c:pt idx="140">
                  <c:v>54970</c:v>
                </c:pt>
                <c:pt idx="141">
                  <c:v>92700</c:v>
                </c:pt>
                <c:pt idx="142">
                  <c:v>65920</c:v>
                </c:pt>
                <c:pt idx="143">
                  <c:v>47360</c:v>
                </c:pt>
                <c:pt idx="144">
                  <c:v>60570</c:v>
                </c:pt>
                <c:pt idx="145">
                  <c:v>104120</c:v>
                </c:pt>
                <c:pt idx="146">
                  <c:v>100420</c:v>
                </c:pt>
                <c:pt idx="147">
                  <c:v>114180</c:v>
                </c:pt>
                <c:pt idx="148">
                  <c:v>33920</c:v>
                </c:pt>
                <c:pt idx="149">
                  <c:v>106460</c:v>
                </c:pt>
                <c:pt idx="150">
                  <c:v>40400</c:v>
                </c:pt>
                <c:pt idx="151">
                  <c:v>36040</c:v>
                </c:pt>
                <c:pt idx="152">
                  <c:v>104410</c:v>
                </c:pt>
                <c:pt idx="153">
                  <c:v>96800</c:v>
                </c:pt>
                <c:pt idx="154">
                  <c:v>85000</c:v>
                </c:pt>
                <c:pt idx="155">
                  <c:v>59430</c:v>
                </c:pt>
                <c:pt idx="156">
                  <c:v>65360</c:v>
                </c:pt>
                <c:pt idx="157">
                  <c:v>41570</c:v>
                </c:pt>
                <c:pt idx="158">
                  <c:v>75280</c:v>
                </c:pt>
                <c:pt idx="159">
                  <c:v>74550</c:v>
                </c:pt>
                <c:pt idx="160">
                  <c:v>67950</c:v>
                </c:pt>
                <c:pt idx="161">
                  <c:v>53540</c:v>
                </c:pt>
                <c:pt idx="162">
                  <c:v>115440</c:v>
                </c:pt>
                <c:pt idx="163">
                  <c:v>49630</c:v>
                </c:pt>
                <c:pt idx="164">
                  <c:v>88050</c:v>
                </c:pt>
                <c:pt idx="165">
                  <c:v>52610</c:v>
                </c:pt>
                <c:pt idx="166">
                  <c:v>112110</c:v>
                </c:pt>
                <c:pt idx="167">
                  <c:v>70270</c:v>
                </c:pt>
                <c:pt idx="168">
                  <c:v>68900</c:v>
                </c:pt>
                <c:pt idx="169">
                  <c:v>67910</c:v>
                </c:pt>
                <c:pt idx="170">
                  <c:v>115440</c:v>
                </c:pt>
                <c:pt idx="171">
                  <c:v>112110</c:v>
                </c:pt>
                <c:pt idx="172">
                  <c:v>67910</c:v>
                </c:pt>
                <c:pt idx="173">
                  <c:v>49630</c:v>
                </c:pt>
                <c:pt idx="174">
                  <c:v>52610</c:v>
                </c:pt>
                <c:pt idx="175">
                  <c:v>68900</c:v>
                </c:pt>
                <c:pt idx="176">
                  <c:v>88050</c:v>
                </c:pt>
                <c:pt idx="177">
                  <c:v>70270</c:v>
                </c:pt>
                <c:pt idx="178">
                  <c:v>43510</c:v>
                </c:pt>
                <c:pt idx="179">
                  <c:v>113280</c:v>
                </c:pt>
                <c:pt idx="180">
                  <c:v>75480</c:v>
                </c:pt>
                <c:pt idx="181">
                  <c:v>75480</c:v>
                </c:pt>
                <c:pt idx="182">
                  <c:v>113280</c:v>
                </c:pt>
                <c:pt idx="183">
                  <c:v>43510</c:v>
                </c:pt>
              </c:strCache>
            </c:strRef>
          </c:xVal>
          <c:yVal>
            <c:numRef>
              <c:f>'All Staff'!$L$3:$L$187</c:f>
              <c:numCache>
                <c:formatCode>General</c:formatCode>
                <c:ptCount val="185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FA-4A0D-9D0A-D97595A38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339504"/>
        <c:axId val="1863272528"/>
      </c:scatterChart>
      <c:valAx>
        <c:axId val="120033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272528"/>
        <c:crosses val="autoZero"/>
        <c:crossBetween val="midCat"/>
      </c:valAx>
      <c:valAx>
        <c:axId val="186327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33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[Staff Project.xlsx]Date - Name!PivotTable3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'Date - Name'!$L$3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'Date - Name'!$K$4:$K$40</c:f>
              <c:multiLvlStrCache>
                <c:ptCount val="32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Feb</c:v>
                  </c:pt>
                  <c:pt idx="31">
                    <c:v>Apr</c:v>
                  </c:pt>
                </c:lvl>
                <c:lvl>
                  <c:pt idx="0">
                    <c:v>2020</c:v>
                  </c:pt>
                  <c:pt idx="8">
                    <c:v>2021</c:v>
                  </c:pt>
                  <c:pt idx="20">
                    <c:v>2022</c:v>
                  </c:pt>
                  <c:pt idx="30">
                    <c:v>2023</c:v>
                  </c:pt>
                </c:lvl>
              </c:multiLvlStrCache>
            </c:multiLvlStrRef>
          </c:cat>
          <c:val>
            <c:numRef>
              <c:f>'Date - Name'!$L$4:$L$40</c:f>
              <c:numCache>
                <c:formatCode>General</c:formatCode>
                <c:ptCount val="32"/>
                <c:pt idx="0">
                  <c:v>3</c:v>
                </c:pt>
                <c:pt idx="1">
                  <c:v>4</c:v>
                </c:pt>
                <c:pt idx="2">
                  <c:v>9</c:v>
                </c:pt>
                <c:pt idx="3">
                  <c:v>12</c:v>
                </c:pt>
                <c:pt idx="4">
                  <c:v>18</c:v>
                </c:pt>
                <c:pt idx="5">
                  <c:v>24</c:v>
                </c:pt>
                <c:pt idx="6">
                  <c:v>30</c:v>
                </c:pt>
                <c:pt idx="7">
                  <c:v>37</c:v>
                </c:pt>
                <c:pt idx="8">
                  <c:v>6</c:v>
                </c:pt>
                <c:pt idx="9">
                  <c:v>10</c:v>
                </c:pt>
                <c:pt idx="10">
                  <c:v>19</c:v>
                </c:pt>
                <c:pt idx="11">
                  <c:v>24</c:v>
                </c:pt>
                <c:pt idx="12">
                  <c:v>34</c:v>
                </c:pt>
                <c:pt idx="13">
                  <c:v>40</c:v>
                </c:pt>
                <c:pt idx="14">
                  <c:v>53</c:v>
                </c:pt>
                <c:pt idx="15">
                  <c:v>57</c:v>
                </c:pt>
                <c:pt idx="16">
                  <c:v>68</c:v>
                </c:pt>
                <c:pt idx="17">
                  <c:v>71</c:v>
                </c:pt>
                <c:pt idx="18">
                  <c:v>75</c:v>
                </c:pt>
                <c:pt idx="19">
                  <c:v>82</c:v>
                </c:pt>
                <c:pt idx="20">
                  <c:v>3</c:v>
                </c:pt>
                <c:pt idx="21">
                  <c:v>13</c:v>
                </c:pt>
                <c:pt idx="22">
                  <c:v>22</c:v>
                </c:pt>
                <c:pt idx="23">
                  <c:v>31</c:v>
                </c:pt>
                <c:pt idx="24">
                  <c:v>40</c:v>
                </c:pt>
                <c:pt idx="25">
                  <c:v>47</c:v>
                </c:pt>
                <c:pt idx="26">
                  <c:v>52</c:v>
                </c:pt>
                <c:pt idx="27">
                  <c:v>57</c:v>
                </c:pt>
                <c:pt idx="28">
                  <c:v>59</c:v>
                </c:pt>
                <c:pt idx="29">
                  <c:v>62</c:v>
                </c:pt>
                <c:pt idx="30">
                  <c:v>1</c:v>
                </c:pt>
                <c:pt idx="3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2D-4899-87E9-5C86785A9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660224"/>
        <c:axId val="331658976"/>
      </c:barChart>
      <c:catAx>
        <c:axId val="33166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58976"/>
        <c:crosses val="autoZero"/>
        <c:auto val="1"/>
        <c:lblAlgn val="ctr"/>
        <c:lblOffset val="100"/>
        <c:noMultiLvlLbl val="0"/>
      </c:catAx>
      <c:valAx>
        <c:axId val="33165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6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[Staff Project.xlsx]Date - Name!PivotTable3</c:name>
    <c:fmtId val="2"/>
  </c:pivotSource>
  <c:chart>
    <c:title>
      <c:layout>
        <c:manualLayout>
          <c:xMode val="edge"/>
          <c:yMode val="edge"/>
          <c:x val="0.45361111111111119"/>
          <c:y val="4.990522018081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- Name'!$L$3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'Date - Name'!$K$4:$K$40</c:f>
              <c:multiLvlStrCache>
                <c:ptCount val="32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Feb</c:v>
                  </c:pt>
                  <c:pt idx="31">
                    <c:v>Apr</c:v>
                  </c:pt>
                </c:lvl>
                <c:lvl>
                  <c:pt idx="0">
                    <c:v>2020</c:v>
                  </c:pt>
                  <c:pt idx="8">
                    <c:v>2021</c:v>
                  </c:pt>
                  <c:pt idx="20">
                    <c:v>2022</c:v>
                  </c:pt>
                  <c:pt idx="30">
                    <c:v>2023</c:v>
                  </c:pt>
                </c:lvl>
              </c:multiLvlStrCache>
            </c:multiLvlStrRef>
          </c:cat>
          <c:val>
            <c:numRef>
              <c:f>'Date - Name'!$L$4:$L$40</c:f>
              <c:numCache>
                <c:formatCode>General</c:formatCode>
                <c:ptCount val="32"/>
                <c:pt idx="0">
                  <c:v>3</c:v>
                </c:pt>
                <c:pt idx="1">
                  <c:v>4</c:v>
                </c:pt>
                <c:pt idx="2">
                  <c:v>9</c:v>
                </c:pt>
                <c:pt idx="3">
                  <c:v>12</c:v>
                </c:pt>
                <c:pt idx="4">
                  <c:v>18</c:v>
                </c:pt>
                <c:pt idx="5">
                  <c:v>24</c:v>
                </c:pt>
                <c:pt idx="6">
                  <c:v>30</c:v>
                </c:pt>
                <c:pt idx="7">
                  <c:v>37</c:v>
                </c:pt>
                <c:pt idx="8">
                  <c:v>6</c:v>
                </c:pt>
                <c:pt idx="9">
                  <c:v>10</c:v>
                </c:pt>
                <c:pt idx="10">
                  <c:v>19</c:v>
                </c:pt>
                <c:pt idx="11">
                  <c:v>24</c:v>
                </c:pt>
                <c:pt idx="12">
                  <c:v>34</c:v>
                </c:pt>
                <c:pt idx="13">
                  <c:v>40</c:v>
                </c:pt>
                <c:pt idx="14">
                  <c:v>53</c:v>
                </c:pt>
                <c:pt idx="15">
                  <c:v>57</c:v>
                </c:pt>
                <c:pt idx="16">
                  <c:v>68</c:v>
                </c:pt>
                <c:pt idx="17">
                  <c:v>71</c:v>
                </c:pt>
                <c:pt idx="18">
                  <c:v>75</c:v>
                </c:pt>
                <c:pt idx="19">
                  <c:v>82</c:v>
                </c:pt>
                <c:pt idx="20">
                  <c:v>3</c:v>
                </c:pt>
                <c:pt idx="21">
                  <c:v>13</c:v>
                </c:pt>
                <c:pt idx="22">
                  <c:v>22</c:v>
                </c:pt>
                <c:pt idx="23">
                  <c:v>31</c:v>
                </c:pt>
                <c:pt idx="24">
                  <c:v>40</c:v>
                </c:pt>
                <c:pt idx="25">
                  <c:v>47</c:v>
                </c:pt>
                <c:pt idx="26">
                  <c:v>52</c:v>
                </c:pt>
                <c:pt idx="27">
                  <c:v>57</c:v>
                </c:pt>
                <c:pt idx="28">
                  <c:v>59</c:v>
                </c:pt>
                <c:pt idx="29">
                  <c:v>62</c:v>
                </c:pt>
                <c:pt idx="30">
                  <c:v>1</c:v>
                </c:pt>
                <c:pt idx="3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4-4EFA-9E2C-4C6326B9B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9268144"/>
        <c:axId val="1789268560"/>
      </c:lineChart>
      <c:catAx>
        <c:axId val="178926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268560"/>
        <c:crosses val="autoZero"/>
        <c:auto val="1"/>
        <c:lblAlgn val="ctr"/>
        <c:lblOffset val="100"/>
        <c:noMultiLvlLbl val="0"/>
      </c:catAx>
      <c:valAx>
        <c:axId val="178926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26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'Date - Name'!$V$3</c:f>
              <c:strCache>
                <c:ptCount val="1"/>
                <c:pt idx="0">
                  <c:v>Running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'Date - Name'!$T$4:$T$39</c:f>
              <c:numCache>
                <c:formatCode>m/d/yyyy</c:formatCode>
                <c:ptCount val="36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  <c:pt idx="12">
                  <c:v>44317</c:v>
                </c:pt>
                <c:pt idx="13">
                  <c:v>44348</c:v>
                </c:pt>
                <c:pt idx="14">
                  <c:v>44378</c:v>
                </c:pt>
                <c:pt idx="15">
                  <c:v>44409</c:v>
                </c:pt>
                <c:pt idx="16">
                  <c:v>44440</c:v>
                </c:pt>
                <c:pt idx="17">
                  <c:v>44470</c:v>
                </c:pt>
                <c:pt idx="18">
                  <c:v>44501</c:v>
                </c:pt>
                <c:pt idx="19">
                  <c:v>44531</c:v>
                </c:pt>
                <c:pt idx="20">
                  <c:v>44562</c:v>
                </c:pt>
                <c:pt idx="21">
                  <c:v>44593</c:v>
                </c:pt>
                <c:pt idx="22">
                  <c:v>44621</c:v>
                </c:pt>
                <c:pt idx="23">
                  <c:v>44652</c:v>
                </c:pt>
                <c:pt idx="24">
                  <c:v>44682</c:v>
                </c:pt>
                <c:pt idx="25">
                  <c:v>44713</c:v>
                </c:pt>
                <c:pt idx="26">
                  <c:v>44743</c:v>
                </c:pt>
                <c:pt idx="27">
                  <c:v>44774</c:v>
                </c:pt>
                <c:pt idx="28">
                  <c:v>44805</c:v>
                </c:pt>
                <c:pt idx="29">
                  <c:v>44835</c:v>
                </c:pt>
                <c:pt idx="30">
                  <c:v>44866</c:v>
                </c:pt>
                <c:pt idx="31">
                  <c:v>44896</c:v>
                </c:pt>
                <c:pt idx="32">
                  <c:v>44927</c:v>
                </c:pt>
                <c:pt idx="33">
                  <c:v>44958</c:v>
                </c:pt>
                <c:pt idx="34">
                  <c:v>44986</c:v>
                </c:pt>
                <c:pt idx="35">
                  <c:v>45017</c:v>
                </c:pt>
              </c:numCache>
            </c:numRef>
          </c:cat>
          <c:val>
            <c:numRef>
              <c:f>'Date - Name'!$V$4:$V$39</c:f>
              <c:numCache>
                <c:formatCode>General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9</c:v>
                </c:pt>
                <c:pt idx="3">
                  <c:v>12</c:v>
                </c:pt>
                <c:pt idx="4">
                  <c:v>18</c:v>
                </c:pt>
                <c:pt idx="5">
                  <c:v>24</c:v>
                </c:pt>
                <c:pt idx="6">
                  <c:v>30</c:v>
                </c:pt>
                <c:pt idx="7">
                  <c:v>37</c:v>
                </c:pt>
                <c:pt idx="8">
                  <c:v>43</c:v>
                </c:pt>
                <c:pt idx="9">
                  <c:v>47</c:v>
                </c:pt>
                <c:pt idx="10">
                  <c:v>56</c:v>
                </c:pt>
                <c:pt idx="11">
                  <c:v>61</c:v>
                </c:pt>
                <c:pt idx="12">
                  <c:v>71</c:v>
                </c:pt>
                <c:pt idx="13">
                  <c:v>77</c:v>
                </c:pt>
                <c:pt idx="14">
                  <c:v>90</c:v>
                </c:pt>
                <c:pt idx="15">
                  <c:v>94</c:v>
                </c:pt>
                <c:pt idx="16">
                  <c:v>105</c:v>
                </c:pt>
                <c:pt idx="17">
                  <c:v>108</c:v>
                </c:pt>
                <c:pt idx="18">
                  <c:v>112</c:v>
                </c:pt>
                <c:pt idx="19">
                  <c:v>119</c:v>
                </c:pt>
                <c:pt idx="20">
                  <c:v>122</c:v>
                </c:pt>
                <c:pt idx="21">
                  <c:v>132</c:v>
                </c:pt>
                <c:pt idx="22">
                  <c:v>141</c:v>
                </c:pt>
                <c:pt idx="23">
                  <c:v>150</c:v>
                </c:pt>
                <c:pt idx="24">
                  <c:v>159</c:v>
                </c:pt>
                <c:pt idx="25">
                  <c:v>166</c:v>
                </c:pt>
                <c:pt idx="26">
                  <c:v>171</c:v>
                </c:pt>
                <c:pt idx="27">
                  <c:v>176</c:v>
                </c:pt>
                <c:pt idx="28">
                  <c:v>178</c:v>
                </c:pt>
                <c:pt idx="29">
                  <c:v>181</c:v>
                </c:pt>
                <c:pt idx="30">
                  <c:v>181</c:v>
                </c:pt>
                <c:pt idx="31">
                  <c:v>181</c:v>
                </c:pt>
                <c:pt idx="32">
                  <c:v>181</c:v>
                </c:pt>
                <c:pt idx="33">
                  <c:v>182</c:v>
                </c:pt>
                <c:pt idx="34">
                  <c:v>182</c:v>
                </c:pt>
                <c:pt idx="35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F4-47BD-BFC5-DB92F8DB3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597920"/>
        <c:axId val="410610400"/>
      </c:lineChart>
      <c:dateAx>
        <c:axId val="4105979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10400"/>
        <c:crosses val="autoZero"/>
        <c:auto val="1"/>
        <c:lblOffset val="100"/>
        <c:baseTimeUnit val="months"/>
      </c:dateAx>
      <c:valAx>
        <c:axId val="41061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59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[Staff Project.xlsx]Dept Count!PivotTable5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'Dept Count'!$E$3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'Dept Count'!$D$4:$D$9</c:f>
              <c:strCache>
                <c:ptCount val="5"/>
                <c:pt idx="0">
                  <c:v>Procurement</c:v>
                </c:pt>
                <c:pt idx="1">
                  <c:v>Website</c:v>
                </c:pt>
                <c:pt idx="2">
                  <c:v>Finance</c:v>
                </c:pt>
                <c:pt idx="3">
                  <c:v>Sales</c:v>
                </c:pt>
                <c:pt idx="4">
                  <c:v>HR</c:v>
                </c:pt>
              </c:strCache>
            </c:strRef>
          </c:cat>
          <c:val>
            <c:numRef>
              <c:f>'Dept Count'!$E$4:$E$9</c:f>
              <c:numCache>
                <c:formatCode>General</c:formatCode>
                <c:ptCount val="5"/>
                <c:pt idx="0">
                  <c:v>28</c:v>
                </c:pt>
                <c:pt idx="1">
                  <c:v>27</c:v>
                </c:pt>
                <c:pt idx="2">
                  <c:v>19</c:v>
                </c:pt>
                <c:pt idx="3">
                  <c:v>14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5-4D11-9D66-8F49A30A5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1194511264"/>
        <c:axId val="1194516256"/>
      </c:barChart>
      <c:catAx>
        <c:axId val="11945112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516256"/>
        <c:crosses val="autoZero"/>
        <c:auto val="1"/>
        <c:lblAlgn val="ctr"/>
        <c:lblOffset val="100"/>
        <c:noMultiLvlLbl val="0"/>
      </c:catAx>
      <c:valAx>
        <c:axId val="11945162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51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[Staff Project.xlsx]Dept Count!PivotTable4</c:name>
    <c:fmtId val="1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'Dept Count'!$B$3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'Dept Count'!$A$4:$A$9</c:f>
              <c:strCache>
                <c:ptCount val="5"/>
                <c:pt idx="0">
                  <c:v>Website</c:v>
                </c:pt>
                <c:pt idx="1">
                  <c:v>Procurement</c:v>
                </c:pt>
                <c:pt idx="2">
                  <c:v>Finance</c:v>
                </c:pt>
                <c:pt idx="3">
                  <c:v>Sales</c:v>
                </c:pt>
                <c:pt idx="4">
                  <c:v>HR</c:v>
                </c:pt>
              </c:strCache>
            </c:strRef>
          </c:cat>
          <c:val>
            <c:numRef>
              <c:f>'Dept Count'!$B$4:$B$9</c:f>
              <c:numCache>
                <c:formatCode>General</c:formatCode>
                <c:ptCount val="5"/>
                <c:pt idx="0">
                  <c:v>27</c:v>
                </c:pt>
                <c:pt idx="1">
                  <c:v>27</c:v>
                </c:pt>
                <c:pt idx="2">
                  <c:v>19</c:v>
                </c:pt>
                <c:pt idx="3">
                  <c:v>14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5-408C-B6B2-A231AD315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"/>
        <c:overlap val="-8"/>
        <c:axId val="1197275392"/>
        <c:axId val="1197277472"/>
      </c:barChart>
      <c:catAx>
        <c:axId val="11972753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277472"/>
        <c:crosses val="autoZero"/>
        <c:auto val="1"/>
        <c:lblAlgn val="ctr"/>
        <c:lblOffset val="100"/>
        <c:noMultiLvlLbl val="0"/>
      </c:catAx>
      <c:valAx>
        <c:axId val="1197277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275392"/>
        <c:crosses val="autoZero"/>
        <c:crossBetween val="between"/>
      </c:valAx>
      <c:spPr>
        <a:noFill/>
        <a:ln>
          <a:noFill/>
        </a:ln>
        <a:effectLst>
          <a:softEdge rad="1397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Salary Spread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Spread</a:t>
          </a:r>
        </a:p>
      </cx:txPr>
    </cx:title>
    <cx:plotArea>
      <cx:plotAreaRegion>
        <cx:series layoutId="clusteredColumn" uniqueId="{110267DB-BD84-463F-BBB5-D75AEB5E162C}">
          <cx:tx>
            <cx:txData>
              <cx:f>_xlchart.v1.0</cx:f>
              <cx:v>Salary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Salary Spread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Spread</a:t>
          </a:r>
        </a:p>
      </cx:txPr>
    </cx:title>
    <cx:plotArea>
      <cx:plotAreaRegion>
        <cx:series layoutId="boxWhisker" uniqueId="{AADF6733-9AC3-4F21-8914-35CFDCF9DAE3}">
          <cx:tx>
            <cx:txData>
              <cx:f>_xlchart.v1.2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603250</xdr:colOff>
      <xdr:row>2</xdr:row>
      <xdr:rowOff>6350</xdr:rowOff>
    </xdr:from>
    <xdr:to>
      <xdr:col>10</xdr:col>
      <xdr:colOff>234950</xdr:colOff>
      <xdr:row>12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8B96BA-AAC8-4F76-8112-9D02FE612C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25400</xdr:rowOff>
    </xdr:from>
    <xdr:to>
      <xdr:col>7</xdr:col>
      <xdr:colOff>304800</xdr:colOff>
      <xdr:row>15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C99C35-E657-40EE-856F-03E47E919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349250</xdr:colOff>
      <xdr:row>1</xdr:row>
      <xdr:rowOff>158750</xdr:rowOff>
    </xdr:from>
    <xdr:to>
      <xdr:col>17</xdr:col>
      <xdr:colOff>355600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2927E4-C419-4630-AA9F-1C20D3DA5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355601</xdr:colOff>
      <xdr:row>15</xdr:row>
      <xdr:rowOff>76200</xdr:rowOff>
    </xdr:from>
    <xdr:to>
      <xdr:col>17</xdr:col>
      <xdr:colOff>381001</xdr:colOff>
      <xdr:row>26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250158-E2FE-428A-8268-BEF8939FD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4</xdr:row>
      <xdr:rowOff>57150</xdr:rowOff>
    </xdr:from>
    <xdr:to>
      <xdr:col>12</xdr:col>
      <xdr:colOff>1231900</xdr:colOff>
      <xdr:row>14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C5D013-7450-432A-899F-4182E240C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69850</xdr:colOff>
      <xdr:row>4</xdr:row>
      <xdr:rowOff>44451</xdr:rowOff>
    </xdr:from>
    <xdr:to>
      <xdr:col>5</xdr:col>
      <xdr:colOff>1219200</xdr:colOff>
      <xdr:row>14</xdr:row>
      <xdr:rowOff>152020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C4AE1A-68EB-45C2-A805-E19DF7BCF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311150</xdr:colOff>
      <xdr:row>1</xdr:row>
      <xdr:rowOff>101600</xdr:rowOff>
    </xdr:from>
    <xdr:to>
      <xdr:col>8</xdr:col>
      <xdr:colOff>6350</xdr:colOff>
      <xdr:row>16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560DF99-2A22-4CAD-AC60-A35A2E90B8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1150" y="285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165100</xdr:colOff>
      <xdr:row>1</xdr:row>
      <xdr:rowOff>63500</xdr:rowOff>
    </xdr:from>
    <xdr:to>
      <xdr:col>13</xdr:col>
      <xdr:colOff>215900</xdr:colOff>
      <xdr:row>16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DACD324-38CE-4219-93B9-F22233D70F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1900" y="247650"/>
              <a:ext cx="3098800" cy="2800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cer" refreshedDate="45629.487124305553" backgroundQuery="1" createdVersion="7" refreshedVersion="7" minRefreshableVersion="3" recordCount="0" supportSubquery="1" supportAdvancedDrill="1" xr:uid="{33B35E51-8DD1-43AA-A883-9C6684BB9B77}">
  <cacheSource type="external" connectionId="4"/>
  <cacheFields count="0"/>
  <cacheHierarchies count="22">
    <cacheHierarchy uniqueName="[Staff].[Name]" caption="Name" attribute="1" defaultMemberUniqueName="[Staff].[Name].[All]" allUniqueName="[Staff].[Name].[All]" dimensionUniqueName="[Staff]" displayFolder="" count="0" memberValueDatatype="130" unbalanced="0"/>
    <cacheHierarchy uniqueName="[Staff].[Gender]" caption="Gender" attribute="1" defaultMemberUniqueName="[Staff].[Gender].[All]" allUniqueName="[Staff].[Gender].[All]" dimensionUniqueName="[Staff]" displayFolder="" count="0" memberValueDatatype="130" unbalanced="0"/>
    <cacheHierarchy uniqueName="[Staff].[Age]" caption="Age" attribute="1" defaultMemberUniqueName="[Staff].[Age].[All]" allUniqueName="[Staff].[Age].[All]" dimensionUniqueName="[Staff]" displayFolder="" count="0" memberValueDatatype="20" unbalanced="0"/>
    <cacheHierarchy uniqueName="[Staff].[Rating]" caption="Rating" attribute="1" defaultMemberUniqueName="[Staff].[Rating].[All]" allUniqueName="[Staff].[Rating].[All]" dimensionUniqueName="[Staff]" displayFolder="" count="0" memberValueDatatype="130" unbalanced="0"/>
    <cacheHierarchy uniqueName="[Staff].[Date Joined]" caption="Date Joined" attribute="1" time="1" defaultMemberUniqueName="[Staff].[Date Joined].[All]" allUniqueName="[Staff].[Date Joined].[All]" dimensionUniqueName="[Staff]" displayFolder="" count="0" memberValueDatatype="7" unbalanced="0"/>
    <cacheHierarchy uniqueName="[Staff].[Department]" caption="Department" attribute="1" defaultMemberUniqueName="[Staff].[Department].[All]" allUniqueName="[Staff].[Department].[All]" dimensionUniqueName="[Staff]" displayFolder="" count="0" memberValueDatatype="130" unbalanced="0"/>
    <cacheHierarchy uniqueName="[Staff].[Salary]" caption="Salary" attribute="1" defaultMemberUniqueName="[Staff].[Salary].[All]" allUniqueName="[Staff].[Salary].[All]" dimensionUniqueName="[Staff]" displayFolder="" count="0" memberValueDatatype="20" unbalanced="0"/>
    <cacheHierarchy uniqueName="[Staff].[Tenure]" caption="Tenure" attribute="1" defaultMemberUniqueName="[Staff].[Tenure].[All]" allUniqueName="[Staff].[Tenure].[All]" dimensionUniqueName="[Staff]" displayFolder="" count="0" memberValueDatatype="5" unbalanced="0"/>
    <cacheHierarchy uniqueName="[Staff].[Country]" caption="Country" attribute="1" defaultMemberUniqueName="[Staff].[Country].[All]" allUniqueName="[Staff].[Country].[All]" dimensionUniqueName="[Staff]" displayFolder="" count="0" memberValueDatatype="130" unbalanced="0"/>
    <cacheHierarchy uniqueName="[Staff].[Date Joined (Year)]" caption="Date Joined (Year)" attribute="1" defaultMemberUniqueName="[Staff].[Date Joined (Year)].[All]" allUniqueName="[Staff].[Date Joined (Year)].[All]" dimensionUniqueName="[Staff]" displayFolder="" count="0" memberValueDatatype="130" unbalanced="0"/>
    <cacheHierarchy uniqueName="[Staff].[Date Joined (Quarter)]" caption="Date Joined (Quarter)" attribute="1" defaultMemberUniqueName="[Staff].[Date Joined (Quarter)].[All]" allUniqueName="[Staff].[Date Joined (Quarter)].[All]" dimensionUniqueName="[Staff]" displayFolder="" count="0" memberValueDatatype="130" unbalanced="0"/>
    <cacheHierarchy uniqueName="[Staff].[Date Joined (Month)]" caption="Date Joined (Month)" attribute="1" defaultMemberUniqueName="[Staff].[Date Joined (Month)].[All]" allUniqueName="[Staff].[Date Joined (Month)].[All]" dimensionUniqueName="[Staff]" displayFolder="" count="0" memberValueDatatype="130" unbalanced="0"/>
    <cacheHierarchy uniqueName="[Staff].[Date Joined (Month Index)]" caption="Date Joined (Month Index)" attribute="1" defaultMemberUniqueName="[Staff].[Date Joined (Month Index)].[All]" allUniqueName="[Staff].[Date Joined (Month Index)].[All]" dimensionUniqueName="[Staff]" displayFolder="" count="0" memberValueDatatype="20" unbalanced="0" hidden="1"/>
    <cacheHierarchy uniqueName="[Measures].[__XL_Count Staff]" caption="__XL_Count Staff" measure="1" displayFolder="" measureGroup="Staff" count="0" hidden="1"/>
    <cacheHierarchy uniqueName="[Measures].[__No measures defined]" caption="__No measures defined" measure="1" displayFolder="" count="0" hidden="1"/>
    <cacheHierarchy uniqueName="[Measures].[Sum of Salary]" caption="Sum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enure]" caption="Sum of Tenure" measure="1" displayFolder="" measureGroup="Staff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Age]" caption="Sum of Age" measure="1" displayFolder="" measureGroup="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Salary]" caption="Average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Tenure]" caption="Average of Tenure" measure="1" displayFolder="" measureGroup="Staff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Age]" caption="Average of Age" measure="1" displayFolder="" measureGroup="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Name]" caption="Count of Name" measure="1" displayFolder="" measureGroup="Staff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Staff" uniqueName="[Staff]" caption="Staff"/>
  </dimensions>
  <measureGroups count="1">
    <measureGroup name="Staff" caption="Staff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cer" refreshedDate="45629.488144444447" backgroundQuery="1" createdVersion="7" refreshedVersion="7" minRefreshableVersion="3" recordCount="0" supportSubquery="1" supportAdvancedDrill="1" xr:uid="{675817B4-35BF-44FB-94A8-DCC51C01684C}">
  <cacheSource type="external" connectionId="4"/>
  <cacheFields count="3">
    <cacheField name="[Staff].[Rating].[Rating]" caption="Rating" numFmtId="0" hierarchy="3" level="1">
      <sharedItems count="5">
        <s v="Above average"/>
        <s v="Average"/>
        <s v="Exceptional"/>
        <s v="Poor"/>
        <s v="Very poor"/>
      </sharedItems>
    </cacheField>
    <cacheField name="[Measures].[Average of Salary]" caption="Average of Salary" numFmtId="0" hierarchy="18" level="32767"/>
    <cacheField name="[Measures].[Count of Name]" caption="Count of Name" numFmtId="0" hierarchy="21" level="32767"/>
  </cacheFields>
  <cacheHierarchies count="22">
    <cacheHierarchy uniqueName="[Staff].[Name]" caption="Name" attribute="1" defaultMemberUniqueName="[Staff].[Name].[All]" allUniqueName="[Staff].[Name].[All]" dimensionUniqueName="[Staff]" displayFolder="" count="0" memberValueDatatype="130" unbalanced="0"/>
    <cacheHierarchy uniqueName="[Staff].[Gender]" caption="Gender" attribute="1" defaultMemberUniqueName="[Staff].[Gender].[All]" allUniqueName="[Staff].[Gender].[All]" dimensionUniqueName="[Staff]" displayFolder="" count="0" memberValueDatatype="130" unbalanced="0"/>
    <cacheHierarchy uniqueName="[Staff].[Age]" caption="Age" attribute="1" defaultMemberUniqueName="[Staff].[Age].[All]" allUniqueName="[Staff].[Age].[All]" dimensionUniqueName="[Staff]" displayFolder="" count="0" memberValueDatatype="20" unbalanced="0"/>
    <cacheHierarchy uniqueName="[Staff].[Rating]" caption="Rating" attribute="1" defaultMemberUniqueName="[Staff].[Rating].[All]" allUniqueName="[Staff].[Rating].[All]" dimensionUniqueName="[Staff]" displayFolder="" count="2" memberValueDatatype="130" unbalanced="0">
      <fieldsUsage count="2">
        <fieldUsage x="-1"/>
        <fieldUsage x="0"/>
      </fieldsUsage>
    </cacheHierarchy>
    <cacheHierarchy uniqueName="[Staff].[Date Joined]" caption="Date Joined" attribute="1" time="1" defaultMemberUniqueName="[Staff].[Date Joined].[All]" allUniqueName="[Staff].[Date Joined].[All]" dimensionUniqueName="[Staff]" displayFolder="" count="0" memberValueDatatype="7" unbalanced="0"/>
    <cacheHierarchy uniqueName="[Staff].[Department]" caption="Department" attribute="1" defaultMemberUniqueName="[Staff].[Department].[All]" allUniqueName="[Staff].[Department].[All]" dimensionUniqueName="[Staff]" displayFolder="" count="0" memberValueDatatype="130" unbalanced="0"/>
    <cacheHierarchy uniqueName="[Staff].[Salary]" caption="Salary" attribute="1" defaultMemberUniqueName="[Staff].[Salary].[All]" allUniqueName="[Staff].[Salary].[All]" dimensionUniqueName="[Staff]" displayFolder="" count="0" memberValueDatatype="20" unbalanced="0"/>
    <cacheHierarchy uniqueName="[Staff].[Tenure]" caption="Tenure" attribute="1" defaultMemberUniqueName="[Staff].[Tenure].[All]" allUniqueName="[Staff].[Tenure].[All]" dimensionUniqueName="[Staff]" displayFolder="" count="0" memberValueDatatype="5" unbalanced="0"/>
    <cacheHierarchy uniqueName="[Staff].[Country]" caption="Country" attribute="1" defaultMemberUniqueName="[Staff].[Country].[All]" allUniqueName="[Staff].[Country].[All]" dimensionUniqueName="[Staff]" displayFolder="" count="0" memberValueDatatype="130" unbalanced="0"/>
    <cacheHierarchy uniqueName="[Staff].[Date Joined (Year)]" caption="Date Joined (Year)" attribute="1" defaultMemberUniqueName="[Staff].[Date Joined (Year)].[All]" allUniqueName="[Staff].[Date Joined (Year)].[All]" dimensionUniqueName="[Staff]" displayFolder="" count="0" memberValueDatatype="130" unbalanced="0"/>
    <cacheHierarchy uniqueName="[Staff].[Date Joined (Quarter)]" caption="Date Joined (Quarter)" attribute="1" defaultMemberUniqueName="[Staff].[Date Joined (Quarter)].[All]" allUniqueName="[Staff].[Date Joined (Quarter)].[All]" dimensionUniqueName="[Staff]" displayFolder="" count="0" memberValueDatatype="130" unbalanced="0"/>
    <cacheHierarchy uniqueName="[Staff].[Date Joined (Month)]" caption="Date Joined (Month)" attribute="1" defaultMemberUniqueName="[Staff].[Date Joined (Month)].[All]" allUniqueName="[Staff].[Date Joined (Month)].[All]" dimensionUniqueName="[Staff]" displayFolder="" count="0" memberValueDatatype="130" unbalanced="0"/>
    <cacheHierarchy uniqueName="[Staff].[Date Joined (Month Index)]" caption="Date Joined (Month Index)" attribute="1" defaultMemberUniqueName="[Staff].[Date Joined (Month Index)].[All]" allUniqueName="[Staff].[Date Joined (Month Index)].[All]" dimensionUniqueName="[Staff]" displayFolder="" count="0" memberValueDatatype="20" unbalanced="0" hidden="1"/>
    <cacheHierarchy uniqueName="[Measures].[__XL_Count Staff]" caption="__XL_Count Staff" measure="1" displayFolder="" measureGroup="Staff" count="0" hidden="1"/>
    <cacheHierarchy uniqueName="[Measures].[__No measures defined]" caption="__No measures defined" measure="1" displayFolder="" count="0" hidden="1"/>
    <cacheHierarchy uniqueName="[Measures].[Sum of Salary]" caption="Sum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enure]" caption="Sum of Tenure" measure="1" displayFolder="" measureGroup="Staff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Age]" caption="Sum of Age" measure="1" displayFolder="" measureGroup="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Salary]" caption="Average of Salary" measure="1" displayFolder="" measureGroup="Staff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Tenure]" caption="Average of Tenure" measure="1" displayFolder="" measureGroup="Staff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Age]" caption="Average of Age" measure="1" displayFolder="" measureGroup="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Name]" caption="Count of Name" measure="1" displayFolder="" measureGroup="Staff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Staff" uniqueName="[Staff]" caption="Staff"/>
  </dimensions>
  <measureGroups count="1">
    <measureGroup name="Staff" caption="Staff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cer" refreshedDate="45629.488145833333" backgroundQuery="1" createdVersion="7" refreshedVersion="7" minRefreshableVersion="3" recordCount="0" supportSubquery="1" supportAdvancedDrill="1" xr:uid="{F30FF67F-2376-465E-B163-671E218A16C0}">
  <cacheSource type="external" connectionId="4"/>
  <cacheFields count="4">
    <cacheField name="[Staff].[Gender].[Gender]" caption="Gender" numFmtId="0" hierarchy="1" level="1">
      <sharedItems count="3">
        <s v="Female"/>
        <s v="Male"/>
        <s v="Other"/>
      </sharedItems>
    </cacheField>
    <cacheField name="[Measures].[Average of Salary]" caption="Average of Salary" numFmtId="0" hierarchy="18" level="32767"/>
    <cacheField name="[Measures].[Average of Tenure]" caption="Average of Tenure" numFmtId="0" hierarchy="19" level="32767"/>
    <cacheField name="[Measures].[Average of Age]" caption="Average of Age" numFmtId="0" hierarchy="20" level="32767"/>
  </cacheFields>
  <cacheHierarchies count="22">
    <cacheHierarchy uniqueName="[Staff].[Name]" caption="Name" attribute="1" defaultMemberUniqueName="[Staff].[Name].[All]" allUniqueName="[Staff].[Name].[All]" dimensionUniqueName="[Staff]" displayFolder="" count="0" memberValueDatatype="130" unbalanced="0"/>
    <cacheHierarchy uniqueName="[Staff].[Gender]" caption="Gender" attribute="1" defaultMemberUniqueName="[Staff].[Gender].[All]" allUniqueName="[Staff].[Gender].[All]" dimensionUniqueName="[Staff]" displayFolder="" count="2" memberValueDatatype="130" unbalanced="0">
      <fieldsUsage count="2">
        <fieldUsage x="-1"/>
        <fieldUsage x="0"/>
      </fieldsUsage>
    </cacheHierarchy>
    <cacheHierarchy uniqueName="[Staff].[Age]" caption="Age" attribute="1" defaultMemberUniqueName="[Staff].[Age].[All]" allUniqueName="[Staff].[Age].[All]" dimensionUniqueName="[Staff]" displayFolder="" count="0" memberValueDatatype="20" unbalanced="0"/>
    <cacheHierarchy uniqueName="[Staff].[Rating]" caption="Rating" attribute="1" defaultMemberUniqueName="[Staff].[Rating].[All]" allUniqueName="[Staff].[Rating].[All]" dimensionUniqueName="[Staff]" displayFolder="" count="0" memberValueDatatype="130" unbalanced="0"/>
    <cacheHierarchy uniqueName="[Staff].[Date Joined]" caption="Date Joined" attribute="1" time="1" defaultMemberUniqueName="[Staff].[Date Joined].[All]" allUniqueName="[Staff].[Date Joined].[All]" dimensionUniqueName="[Staff]" displayFolder="" count="0" memberValueDatatype="7" unbalanced="0"/>
    <cacheHierarchy uniqueName="[Staff].[Department]" caption="Department" attribute="1" defaultMemberUniqueName="[Staff].[Department].[All]" allUniqueName="[Staff].[Department].[All]" dimensionUniqueName="[Staff]" displayFolder="" count="0" memberValueDatatype="130" unbalanced="0"/>
    <cacheHierarchy uniqueName="[Staff].[Salary]" caption="Salary" attribute="1" defaultMemberUniqueName="[Staff].[Salary].[All]" allUniqueName="[Staff].[Salary].[All]" dimensionUniqueName="[Staff]" displayFolder="" count="0" memberValueDatatype="20" unbalanced="0"/>
    <cacheHierarchy uniqueName="[Staff].[Tenure]" caption="Tenure" attribute="1" defaultMemberUniqueName="[Staff].[Tenure].[All]" allUniqueName="[Staff].[Tenure].[All]" dimensionUniqueName="[Staff]" displayFolder="" count="0" memberValueDatatype="5" unbalanced="0"/>
    <cacheHierarchy uniqueName="[Staff].[Country]" caption="Country" attribute="1" defaultMemberUniqueName="[Staff].[Country].[All]" allUniqueName="[Staff].[Country].[All]" dimensionUniqueName="[Staff]" displayFolder="" count="0" memberValueDatatype="130" unbalanced="0"/>
    <cacheHierarchy uniqueName="[Staff].[Date Joined (Year)]" caption="Date Joined (Year)" attribute="1" defaultMemberUniqueName="[Staff].[Date Joined (Year)].[All]" allUniqueName="[Staff].[Date Joined (Year)].[All]" dimensionUniqueName="[Staff]" displayFolder="" count="0" memberValueDatatype="130" unbalanced="0"/>
    <cacheHierarchy uniqueName="[Staff].[Date Joined (Quarter)]" caption="Date Joined (Quarter)" attribute="1" defaultMemberUniqueName="[Staff].[Date Joined (Quarter)].[All]" allUniqueName="[Staff].[Date Joined (Quarter)].[All]" dimensionUniqueName="[Staff]" displayFolder="" count="0" memberValueDatatype="130" unbalanced="0"/>
    <cacheHierarchy uniqueName="[Staff].[Date Joined (Month)]" caption="Date Joined (Month)" attribute="1" defaultMemberUniqueName="[Staff].[Date Joined (Month)].[All]" allUniqueName="[Staff].[Date Joined (Month)].[All]" dimensionUniqueName="[Staff]" displayFolder="" count="0" memberValueDatatype="130" unbalanced="0"/>
    <cacheHierarchy uniqueName="[Staff].[Date Joined (Month Index)]" caption="Date Joined (Month Index)" attribute="1" defaultMemberUniqueName="[Staff].[Date Joined (Month Index)].[All]" allUniqueName="[Staff].[Date Joined (Month Index)].[All]" dimensionUniqueName="[Staff]" displayFolder="" count="0" memberValueDatatype="20" unbalanced="0" hidden="1"/>
    <cacheHierarchy uniqueName="[Measures].[__XL_Count Staff]" caption="__XL_Count Staff" measure="1" displayFolder="" measureGroup="Staff" count="0" hidden="1"/>
    <cacheHierarchy uniqueName="[Measures].[__No measures defined]" caption="__No measures defined" measure="1" displayFolder="" count="0" hidden="1"/>
    <cacheHierarchy uniqueName="[Measures].[Sum of Salary]" caption="Sum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enure]" caption="Sum of Tenure" measure="1" displayFolder="" measureGroup="Staff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Age]" caption="Sum of Age" measure="1" displayFolder="" measureGroup="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Salary]" caption="Average of Salary" measure="1" displayFolder="" measureGroup="Staff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Tenure]" caption="Average of Tenure" measure="1" displayFolder="" measureGroup="Staff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Age]" caption="Average of Age" measure="1" displayFolder="" measureGroup="Staff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Name]" caption="Count of Name" measure="1" displayFolder="" measureGroup="Staff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Staff" uniqueName="[Staff]" caption="Staff"/>
  </dimensions>
  <measureGroups count="1">
    <measureGroup name="Staff" caption="Staff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cer" refreshedDate="45629.492697569447" backgroundQuery="1" createdVersion="7" refreshedVersion="7" minRefreshableVersion="3" recordCount="0" supportSubquery="1" supportAdvancedDrill="1" xr:uid="{B4F233B6-1729-45A9-B5FA-138FA6854361}">
  <cacheSource type="external" connectionId="4"/>
  <cacheFields count="3">
    <cacheField name="[Measures].[Count of Name]" caption="Count of Name" numFmtId="0" hierarchy="21" level="32767"/>
    <cacheField name="[Staff].[Date Joined (Month)].[Date Joined (Month)]" caption="Date Joined (Month)" numFmtId="0" hierarchy="11" level="1">
      <sharedItems count="12">
        <s v="May"/>
        <s v="Jun"/>
        <s v="Jul"/>
        <s v="Aug"/>
        <s v="Sep"/>
        <s v="Oct"/>
        <s v="Nov"/>
        <s v="Dec"/>
        <s v="Jan"/>
        <s v="Feb"/>
        <s v="Mar"/>
        <s v="Apr"/>
      </sharedItems>
    </cacheField>
    <cacheField name="[Staff].[Date Joined (Year)].[Date Joined (Year)]" caption="Date Joined (Year)" numFmtId="0" hierarchy="9" level="1">
      <sharedItems count="4">
        <s v="2020"/>
        <s v="2021"/>
        <s v="2022"/>
        <s v="2023"/>
      </sharedItems>
    </cacheField>
  </cacheFields>
  <cacheHierarchies count="22">
    <cacheHierarchy uniqueName="[Staff].[Name]" caption="Name" attribute="1" defaultMemberUniqueName="[Staff].[Name].[All]" allUniqueName="[Staff].[Name].[All]" dimensionUniqueName="[Staff]" displayFolder="" count="2" memberValueDatatype="130" unbalanced="0"/>
    <cacheHierarchy uniqueName="[Staff].[Gender]" caption="Gender" attribute="1" defaultMemberUniqueName="[Staff].[Gender].[All]" allUniqueName="[Staff].[Gender].[All]" dimensionUniqueName="[Staff]" displayFolder="" count="0" memberValueDatatype="130" unbalanced="0"/>
    <cacheHierarchy uniqueName="[Staff].[Age]" caption="Age" attribute="1" defaultMemberUniqueName="[Staff].[Age].[All]" allUniqueName="[Staff].[Age].[All]" dimensionUniqueName="[Staff]" displayFolder="" count="0" memberValueDatatype="20" unbalanced="0"/>
    <cacheHierarchy uniqueName="[Staff].[Rating]" caption="Rating" attribute="1" defaultMemberUniqueName="[Staff].[Rating].[All]" allUniqueName="[Staff].[Rating].[All]" dimensionUniqueName="[Staff]" displayFolder="" count="0" memberValueDatatype="130" unbalanced="0"/>
    <cacheHierarchy uniqueName="[Staff].[Date Joined]" caption="Date Joined" attribute="1" time="1" defaultMemberUniqueName="[Staff].[Date Joined].[All]" allUniqueName="[Staff].[Date Joined].[All]" dimensionUniqueName="[Staff]" displayFolder="" count="2" memberValueDatatype="7" unbalanced="0"/>
    <cacheHierarchy uniqueName="[Staff].[Department]" caption="Department" attribute="1" defaultMemberUniqueName="[Staff].[Department].[All]" allUniqueName="[Staff].[Department].[All]" dimensionUniqueName="[Staff]" displayFolder="" count="0" memberValueDatatype="130" unbalanced="0"/>
    <cacheHierarchy uniqueName="[Staff].[Salary]" caption="Salary" attribute="1" defaultMemberUniqueName="[Staff].[Salary].[All]" allUniqueName="[Staff].[Salary].[All]" dimensionUniqueName="[Staff]" displayFolder="" count="0" memberValueDatatype="20" unbalanced="0"/>
    <cacheHierarchy uniqueName="[Staff].[Tenure]" caption="Tenure" attribute="1" defaultMemberUniqueName="[Staff].[Tenure].[All]" allUniqueName="[Staff].[Tenure].[All]" dimensionUniqueName="[Staff]" displayFolder="" count="0" memberValueDatatype="5" unbalanced="0"/>
    <cacheHierarchy uniqueName="[Staff].[Country]" caption="Country" attribute="1" defaultMemberUniqueName="[Staff].[Country].[All]" allUniqueName="[Staff].[Country].[All]" dimensionUniqueName="[Staff]" displayFolder="" count="0" memberValueDatatype="130" unbalanced="0"/>
    <cacheHierarchy uniqueName="[Staff].[Date Joined (Year)]" caption="Date Joined (Year)" attribute="1" defaultMemberUniqueName="[Staff].[Date Joined (Year)].[All]" allUniqueName="[Staff].[Date Joined (Year)].[All]" dimensionUniqueName="[Staff]" displayFolder="" count="2" memberValueDatatype="130" unbalanced="0">
      <fieldsUsage count="2">
        <fieldUsage x="-1"/>
        <fieldUsage x="2"/>
      </fieldsUsage>
    </cacheHierarchy>
    <cacheHierarchy uniqueName="[Staff].[Date Joined (Quarter)]" caption="Date Joined (Quarter)" attribute="1" defaultMemberUniqueName="[Staff].[Date Joined (Quarter)].[All]" allUniqueName="[Staff].[Date Joined (Quarter)].[All]" dimensionUniqueName="[Staff]" displayFolder="" count="2" memberValueDatatype="130" unbalanced="0"/>
    <cacheHierarchy uniqueName="[Staff].[Date Joined (Month)]" caption="Date Joined (Month)" attribute="1" defaultMemberUniqueName="[Staff].[Date Joined (Month)].[All]" allUniqueName="[Staff].[Date Joined (Month)].[All]" dimensionUniqueName="[Staff]" displayFolder="" count="2" memberValueDatatype="130" unbalanced="0">
      <fieldsUsage count="2">
        <fieldUsage x="-1"/>
        <fieldUsage x="1"/>
      </fieldsUsage>
    </cacheHierarchy>
    <cacheHierarchy uniqueName="[Staff].[Date Joined (Month Index)]" caption="Date Joined (Month Index)" attribute="1" defaultMemberUniqueName="[Staff].[Date Joined (Month Index)].[All]" allUniqueName="[Staff].[Date Joined (Month Index)].[All]" dimensionUniqueName="[Staff]" displayFolder="" count="0" memberValueDatatype="20" unbalanced="0" hidden="1"/>
    <cacheHierarchy uniqueName="[Measures].[__XL_Count Staff]" caption="__XL_Count Staff" measure="1" displayFolder="" measureGroup="Staff" count="0" hidden="1"/>
    <cacheHierarchy uniqueName="[Measures].[__No measures defined]" caption="__No measures defined" measure="1" displayFolder="" count="0" hidden="1"/>
    <cacheHierarchy uniqueName="[Measures].[Sum of Salary]" caption="Sum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enure]" caption="Sum of Tenure" measure="1" displayFolder="" measureGroup="Staff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Age]" caption="Sum of Age" measure="1" displayFolder="" measureGroup="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Salary]" caption="Average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Tenure]" caption="Average of Tenure" measure="1" displayFolder="" measureGroup="Staff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Age]" caption="Average of Age" measure="1" displayFolder="" measureGroup="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Name]" caption="Count of Name" measure="1" displayFolder="" measureGroup="Staff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Staff" uniqueName="[Staff]" caption="Staff"/>
  </dimensions>
  <measureGroups count="1">
    <measureGroup name="Staff" caption="Staff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cer" refreshedDate="45629.541864699073" backgroundQuery="1" createdVersion="7" refreshedVersion="7" minRefreshableVersion="3" recordCount="0" supportSubquery="1" supportAdvancedDrill="1" xr:uid="{6B9EB5FB-7F53-42B9-BB9F-5235441AD7F3}">
  <cacheSource type="external" connectionId="4"/>
  <cacheFields count="3">
    <cacheField name="[Staff].[Department].[Department]" caption="Department" numFmtId="0" hierarchy="5" level="1">
      <sharedItems count="5">
        <s v="Finance"/>
        <s v="HR"/>
        <s v="Procurement"/>
        <s v="Sales"/>
        <s v="Website"/>
      </sharedItems>
    </cacheField>
    <cacheField name="[Measures].[Count of Name]" caption="Count of Name" numFmtId="0" hierarchy="21" level="32767"/>
    <cacheField name="[Staff].[Country].[Country]" caption="Country" numFmtId="0" hierarchy="8" level="1">
      <sharedItems containsSemiMixedTypes="0" containsNonDate="0" containsString="0"/>
    </cacheField>
  </cacheFields>
  <cacheHierarchies count="22">
    <cacheHierarchy uniqueName="[Staff].[Name]" caption="Name" attribute="1" defaultMemberUniqueName="[Staff].[Name].[All]" allUniqueName="[Staff].[Name].[All]" dimensionUniqueName="[Staff]" displayFolder="" count="2" memberValueDatatype="130" unbalanced="0"/>
    <cacheHierarchy uniqueName="[Staff].[Gender]" caption="Gender" attribute="1" defaultMemberUniqueName="[Staff].[Gender].[All]" allUniqueName="[Staff].[Gender].[All]" dimensionUniqueName="[Staff]" displayFolder="" count="0" memberValueDatatype="130" unbalanced="0"/>
    <cacheHierarchy uniqueName="[Staff].[Age]" caption="Age" attribute="1" defaultMemberUniqueName="[Staff].[Age].[All]" allUniqueName="[Staff].[Age].[All]" dimensionUniqueName="[Staff]" displayFolder="" count="0" memberValueDatatype="20" unbalanced="0"/>
    <cacheHierarchy uniqueName="[Staff].[Rating]" caption="Rating" attribute="1" defaultMemberUniqueName="[Staff].[Rating].[All]" allUniqueName="[Staff].[Rating].[All]" dimensionUniqueName="[Staff]" displayFolder="" count="0" memberValueDatatype="130" unbalanced="0"/>
    <cacheHierarchy uniqueName="[Staff].[Date Joined]" caption="Date Joined" attribute="1" time="1" defaultMemberUniqueName="[Staff].[Date Joined].[All]" allUniqueName="[Staff].[Date Joined].[All]" dimensionUniqueName="[Staff]" displayFolder="" count="0" memberValueDatatype="7" unbalanced="0"/>
    <cacheHierarchy uniqueName="[Staff].[Department]" caption="Department" attribute="1" defaultMemberUniqueName="[Staff].[Department].[All]" allUniqueName="[Staff].[Department].[All]" dimensionUniqueName="[Staff]" displayFolder="" count="2" memberValueDatatype="130" unbalanced="0">
      <fieldsUsage count="2">
        <fieldUsage x="-1"/>
        <fieldUsage x="0"/>
      </fieldsUsage>
    </cacheHierarchy>
    <cacheHierarchy uniqueName="[Staff].[Salary]" caption="Salary" attribute="1" defaultMemberUniqueName="[Staff].[Salary].[All]" allUniqueName="[Staff].[Salary].[All]" dimensionUniqueName="[Staff]" displayFolder="" count="0" memberValueDatatype="20" unbalanced="0"/>
    <cacheHierarchy uniqueName="[Staff].[Tenure]" caption="Tenure" attribute="1" defaultMemberUniqueName="[Staff].[Tenure].[All]" allUniqueName="[Staff].[Tenure].[All]" dimensionUniqueName="[Staff]" displayFolder="" count="0" memberValueDatatype="5" unbalanced="0"/>
    <cacheHierarchy uniqueName="[Staff].[Country]" caption="Country" attribute="1" defaultMemberUniqueName="[Staff].[Country].[All]" allUniqueName="[Staff].[Country].[All]" dimensionUniqueName="[Staff]" displayFolder="" count="2" memberValueDatatype="130" unbalanced="0">
      <fieldsUsage count="2">
        <fieldUsage x="-1"/>
        <fieldUsage x="2"/>
      </fieldsUsage>
    </cacheHierarchy>
    <cacheHierarchy uniqueName="[Staff].[Date Joined (Year)]" caption="Date Joined (Year)" attribute="1" defaultMemberUniqueName="[Staff].[Date Joined (Year)].[All]" allUniqueName="[Staff].[Date Joined (Year)].[All]" dimensionUniqueName="[Staff]" displayFolder="" count="0" memberValueDatatype="130" unbalanced="0"/>
    <cacheHierarchy uniqueName="[Staff].[Date Joined (Quarter)]" caption="Date Joined (Quarter)" attribute="1" defaultMemberUniqueName="[Staff].[Date Joined (Quarter)].[All]" allUniqueName="[Staff].[Date Joined (Quarter)].[All]" dimensionUniqueName="[Staff]" displayFolder="" count="0" memberValueDatatype="130" unbalanced="0"/>
    <cacheHierarchy uniqueName="[Staff].[Date Joined (Month)]" caption="Date Joined (Month)" attribute="1" defaultMemberUniqueName="[Staff].[Date Joined (Month)].[All]" allUniqueName="[Staff].[Date Joined (Month)].[All]" dimensionUniqueName="[Staff]" displayFolder="" count="0" memberValueDatatype="130" unbalanced="0"/>
    <cacheHierarchy uniqueName="[Staff].[Date Joined (Month Index)]" caption="Date Joined (Month Index)" attribute="1" defaultMemberUniqueName="[Staff].[Date Joined (Month Index)].[All]" allUniqueName="[Staff].[Date Joined (Month Index)].[All]" dimensionUniqueName="[Staff]" displayFolder="" count="0" memberValueDatatype="20" unbalanced="0" hidden="1"/>
    <cacheHierarchy uniqueName="[Measures].[__XL_Count Staff]" caption="__XL_Count Staff" measure="1" displayFolder="" measureGroup="Staff" count="0" hidden="1"/>
    <cacheHierarchy uniqueName="[Measures].[__No measures defined]" caption="__No measures defined" measure="1" displayFolder="" count="0" hidden="1"/>
    <cacheHierarchy uniqueName="[Measures].[Sum of Salary]" caption="Sum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enure]" caption="Sum of Tenure" measure="1" displayFolder="" measureGroup="Staff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Age]" caption="Sum of Age" measure="1" displayFolder="" measureGroup="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Salary]" caption="Average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Tenure]" caption="Average of Tenure" measure="1" displayFolder="" measureGroup="Staff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Age]" caption="Average of Age" measure="1" displayFolder="" measureGroup="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Name]" caption="Count of Name" measure="1" displayFolder="" measureGroup="Staff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Staff" uniqueName="[Staff]" caption="Staff"/>
  </dimensions>
  <measureGroups count="1">
    <measureGroup name="Staff" caption="Staff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cer" refreshedDate="45629.541948495367" backgroundQuery="1" createdVersion="7" refreshedVersion="7" minRefreshableVersion="3" recordCount="0" supportSubquery="1" supportAdvancedDrill="1" xr:uid="{6F17E7AC-ECD6-4D8F-9CD6-DCCD4E82D338}">
  <cacheSource type="external" connectionId="4"/>
  <cacheFields count="3">
    <cacheField name="[Staff].[Department].[Department]" caption="Department" numFmtId="0" hierarchy="5" level="1">
      <sharedItems count="5">
        <s v="Finance"/>
        <s v="HR"/>
        <s v="Procurement"/>
        <s v="Sales"/>
        <s v="Website"/>
      </sharedItems>
    </cacheField>
    <cacheField name="[Measures].[Count of Name]" caption="Count of Name" numFmtId="0" hierarchy="21" level="32767"/>
    <cacheField name="[Staff].[Country].[Country]" caption="Country" numFmtId="0" hierarchy="8" level="1">
      <sharedItems containsSemiMixedTypes="0" containsNonDate="0" containsString="0"/>
    </cacheField>
  </cacheFields>
  <cacheHierarchies count="22">
    <cacheHierarchy uniqueName="[Staff].[Name]" caption="Name" attribute="1" defaultMemberUniqueName="[Staff].[Name].[All]" allUniqueName="[Staff].[Name].[All]" dimensionUniqueName="[Staff]" displayFolder="" count="2" memberValueDatatype="130" unbalanced="0"/>
    <cacheHierarchy uniqueName="[Staff].[Gender]" caption="Gender" attribute="1" defaultMemberUniqueName="[Staff].[Gender].[All]" allUniqueName="[Staff].[Gender].[All]" dimensionUniqueName="[Staff]" displayFolder="" count="0" memberValueDatatype="130" unbalanced="0"/>
    <cacheHierarchy uniqueName="[Staff].[Age]" caption="Age" attribute="1" defaultMemberUniqueName="[Staff].[Age].[All]" allUniqueName="[Staff].[Age].[All]" dimensionUniqueName="[Staff]" displayFolder="" count="0" memberValueDatatype="20" unbalanced="0"/>
    <cacheHierarchy uniqueName="[Staff].[Rating]" caption="Rating" attribute="1" defaultMemberUniqueName="[Staff].[Rating].[All]" allUniqueName="[Staff].[Rating].[All]" dimensionUniqueName="[Staff]" displayFolder="" count="0" memberValueDatatype="130" unbalanced="0"/>
    <cacheHierarchy uniqueName="[Staff].[Date Joined]" caption="Date Joined" attribute="1" time="1" defaultMemberUniqueName="[Staff].[Date Joined].[All]" allUniqueName="[Staff].[Date Joined].[All]" dimensionUniqueName="[Staff]" displayFolder="" count="0" memberValueDatatype="7" unbalanced="0"/>
    <cacheHierarchy uniqueName="[Staff].[Department]" caption="Department" attribute="1" defaultMemberUniqueName="[Staff].[Department].[All]" allUniqueName="[Staff].[Department].[All]" dimensionUniqueName="[Staff]" displayFolder="" count="2" memberValueDatatype="130" unbalanced="0">
      <fieldsUsage count="2">
        <fieldUsage x="-1"/>
        <fieldUsage x="0"/>
      </fieldsUsage>
    </cacheHierarchy>
    <cacheHierarchy uniqueName="[Staff].[Salary]" caption="Salary" attribute="1" defaultMemberUniqueName="[Staff].[Salary].[All]" allUniqueName="[Staff].[Salary].[All]" dimensionUniqueName="[Staff]" displayFolder="" count="0" memberValueDatatype="20" unbalanced="0"/>
    <cacheHierarchy uniqueName="[Staff].[Tenure]" caption="Tenure" attribute="1" defaultMemberUniqueName="[Staff].[Tenure].[All]" allUniqueName="[Staff].[Tenure].[All]" dimensionUniqueName="[Staff]" displayFolder="" count="0" memberValueDatatype="5" unbalanced="0"/>
    <cacheHierarchy uniqueName="[Staff].[Country]" caption="Country" attribute="1" defaultMemberUniqueName="[Staff].[Country].[All]" allUniqueName="[Staff].[Country].[All]" dimensionUniqueName="[Staff]" displayFolder="" count="2" memberValueDatatype="130" unbalanced="0">
      <fieldsUsage count="2">
        <fieldUsage x="-1"/>
        <fieldUsage x="2"/>
      </fieldsUsage>
    </cacheHierarchy>
    <cacheHierarchy uniqueName="[Staff].[Date Joined (Year)]" caption="Date Joined (Year)" attribute="1" defaultMemberUniqueName="[Staff].[Date Joined (Year)].[All]" allUniqueName="[Staff].[Date Joined (Year)].[All]" dimensionUniqueName="[Staff]" displayFolder="" count="0" memberValueDatatype="130" unbalanced="0"/>
    <cacheHierarchy uniqueName="[Staff].[Date Joined (Quarter)]" caption="Date Joined (Quarter)" attribute="1" defaultMemberUniqueName="[Staff].[Date Joined (Quarter)].[All]" allUniqueName="[Staff].[Date Joined (Quarter)].[All]" dimensionUniqueName="[Staff]" displayFolder="" count="0" memberValueDatatype="130" unbalanced="0"/>
    <cacheHierarchy uniqueName="[Staff].[Date Joined (Month)]" caption="Date Joined (Month)" attribute="1" defaultMemberUniqueName="[Staff].[Date Joined (Month)].[All]" allUniqueName="[Staff].[Date Joined (Month)].[All]" dimensionUniqueName="[Staff]" displayFolder="" count="0" memberValueDatatype="130" unbalanced="0"/>
    <cacheHierarchy uniqueName="[Staff].[Date Joined (Month Index)]" caption="Date Joined (Month Index)" attribute="1" defaultMemberUniqueName="[Staff].[Date Joined (Month Index)].[All]" allUniqueName="[Staff].[Date Joined (Month Index)].[All]" dimensionUniqueName="[Staff]" displayFolder="" count="0" memberValueDatatype="20" unbalanced="0" hidden="1"/>
    <cacheHierarchy uniqueName="[Measures].[__XL_Count Staff]" caption="__XL_Count Staff" measure="1" displayFolder="" measureGroup="Staff" count="0" hidden="1"/>
    <cacheHierarchy uniqueName="[Measures].[__No measures defined]" caption="__No measures defined" measure="1" displayFolder="" count="0" hidden="1"/>
    <cacheHierarchy uniqueName="[Measures].[Sum of Salary]" caption="Sum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enure]" caption="Sum of Tenure" measure="1" displayFolder="" measureGroup="Staff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Age]" caption="Sum of Age" measure="1" displayFolder="" measureGroup="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Salary]" caption="Average of Salary" measure="1" displayFolder="" measureGroup="Staff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Tenure]" caption="Average of Tenure" measure="1" displayFolder="" measureGroup="Staff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Age]" caption="Average of Age" measure="1" displayFolder="" measureGroup="Staff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Name]" caption="Count of Name" measure="1" displayFolder="" measureGroup="Staff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Staff" uniqueName="[Staff]" caption="Staff"/>
  </dimensions>
  <measureGroups count="1">
    <measureGroup name="Staff" caption="Staff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8AA4C-C415-45C0-AE85-1B61E39B604F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9" firstHeaderRow="0" firstDataRow="1" firstDataCol="1"/>
  <pivotFields count="3">
    <pivotField axis="axisRow" allDrilled="1" subtotalTop="0" showAll="0" defaultSubtotal="0" defaultAttributeDrillState="1">
      <items count="5">
        <item x="2"/>
        <item x="0"/>
        <item x="1"/>
        <item x="3"/>
        <item x="4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2" subtotal="count" baseField="0" baseItem="0"/>
    <dataField name="Average of Salary" fld="1" subtotal="average" baseField="0" baseItem="0" numFmtId="166"/>
  </dataFields>
  <formats count="2">
    <format dxfId="10">
      <pivotArea collapsedLevelsAreSubtotals="1" fieldPosition="0">
        <references count="1">
          <reference field="0" count="0"/>
        </references>
      </pivotArea>
    </format>
    <format dxfId="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1"/>
            </reference>
            <reference field="0" count="0" selected="0"/>
          </references>
        </pivotArea>
      </pivotAreas>
    </conditionalFormat>
  </conditionalFormat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Average of Salary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taff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0173E1-B6D6-430E-B8CF-10B4674890FA}" name="PivotTable3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rowHeaderCaption="Date">
  <location ref="K3:L40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allDrilled="1" subtotalTop="0" showAll="0" dataSourceSort="1" defaultSubtotal="0">
      <items count="4">
        <item x="0"/>
        <item x="1"/>
        <item x="2"/>
        <item x="3"/>
      </items>
    </pivotField>
  </pivotFields>
  <rowFields count="2">
    <field x="2"/>
    <field x="1"/>
  </rowFields>
  <rowItems count="3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 v="8"/>
    </i>
    <i r="1">
      <x v="9"/>
    </i>
    <i r="1">
      <x v="10"/>
    </i>
    <i r="1"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 v="8"/>
    </i>
    <i r="1">
      <x v="9"/>
    </i>
    <i r="1">
      <x v="10"/>
    </i>
    <i r="1">
      <x v="11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 v="9"/>
    </i>
    <i r="1">
      <x v="11"/>
    </i>
    <i t="grand">
      <x/>
    </i>
  </rowItems>
  <colItems count="1">
    <i/>
  </colItems>
  <dataFields count="1">
    <dataField name="Count of Name" fld="0" subtotal="count" showDataAs="runTotal" baseField="1" baseItem="0"/>
  </dataFields>
  <chartFormats count="2">
    <chartFormat chart="0" format="3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9"/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taff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C11F9-E23F-4668-BCA5-2629A6B5C4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0" firstHeaderRow="1" firstDataRow="1" firstDataCol="0"/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A78C-7E4E-42E4-B935-5302DE38B86C}" name="PivotTable5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 rowHeaderCaption="Department">
  <location ref="D3:E9" firstHeaderRow="1" firstDataRow="1" firstDataCol="1" rowPageCount="1" colPageCount="1"/>
  <pivotFields count="3">
    <pivotField axis="axisRow" allDrilled="1" subtotalTop="0" showAll="0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6">
    <i>
      <x v="2"/>
    </i>
    <i>
      <x v="4"/>
    </i>
    <i>
      <x/>
    </i>
    <i>
      <x v="3"/>
    </i>
    <i>
      <x v="1"/>
    </i>
    <i t="grand">
      <x/>
    </i>
  </rowItems>
  <colItems count="1">
    <i/>
  </colItems>
  <pageFields count="1">
    <pageField fld="2" hier="8" name="[Staff].[Country].&amp;[IN]" cap="IN"/>
  </pageFields>
  <dataFields count="1">
    <dataField name="Count of Name" fld="1" subtotal="count" baseField="0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Staff].[Country].&amp;[IN]"/>
      </members>
    </pivotHierarchy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aff Project.xlsx!Staff">
        <x15:activeTabTopLevelEntity name="[Staff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4C70FE-3193-45B0-B970-51F4BD96EF4A}" name="PivotTable4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0" rowHeaderCaption="Department">
  <location ref="A3:B9" firstHeaderRow="1" firstDataRow="1" firstDataCol="1" rowPageCount="1" colPageCount="1"/>
  <pivotFields count="3">
    <pivotField axis="axisRow" allDrilled="1" subtotalTop="0" showAll="0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6">
    <i>
      <x v="4"/>
    </i>
    <i>
      <x v="2"/>
    </i>
    <i>
      <x/>
    </i>
    <i>
      <x v="3"/>
    </i>
    <i>
      <x v="1"/>
    </i>
    <i t="grand">
      <x/>
    </i>
  </rowItems>
  <colItems count="1">
    <i/>
  </colItems>
  <pageFields count="1">
    <pageField fld="2" hier="8" name="[Staff].[Country].&amp;[NZ]" cap="NZ"/>
  </pageFields>
  <dataFields count="1">
    <dataField name="Count of Name" fld="1" subtotal="count" baseField="0" baseItem="0"/>
  </dataFields>
  <chartFormats count="5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Staff].[Country].&amp;[NZ]"/>
      </members>
    </pivotHierarchy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aff Project.xlsx!Staff">
        <x15:activeTabTopLevelEntity name="[Staff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25A276-003E-4BE8-9547-B7B9D2A40677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3" subtotal="average" baseField="0" baseItem="0" numFmtId="1"/>
    <dataField name="Average of Salary" fld="1" subtotal="average" baseField="0" baseItem="0"/>
    <dataField name="Average of Tenure" fld="2" subtotal="average" baseField="0" baseItem="2" numFmtId="1"/>
  </dataFields>
  <formats count="2">
    <format dxfId="1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Average of Salary"/>
    <pivotHierarchy dragToData="1" caption="Average of Tenure"/>
    <pivotHierarchy dragToData="1" caption="Average of Age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aff Project.xlsx!Staff">
        <x15:activeTabTopLevelEntity name="[Staff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E9ECA65-FFFA-4E39-942C-6FF7EBC04582}" autoFormatId="16" applyNumberFormats="0" applyBorderFormats="0" applyFontFormats="0" applyPatternFormats="0" applyAlignmentFormats="0" applyWidthHeightFormats="0">
  <queryTableRefresh nextId="12" unboundColumnsRight="2">
    <queryTableFields count="11">
      <queryTableField id="1" name="Name" tableColumnId="1"/>
      <queryTableField id="2" name="Gender" tableColumnId="2"/>
      <queryTableField id="3" name="Age" tableColumnId="3"/>
      <queryTableField id="4" name="Rating" tableColumnId="4"/>
      <queryTableField id="5" name="Date Joined" tableColumnId="5"/>
      <queryTableField id="6" name="Department" tableColumnId="6"/>
      <queryTableField id="7" name="Salary" tableColumnId="7"/>
      <queryTableField id="9" dataBound="0" tableColumnId="9"/>
      <queryTableField id="8" name="Country" tableColumnId="8"/>
      <queryTableField id="10" dataBound="0" tableColumnId="10"/>
      <queryTableField id="11" dataBound="0" tableColumnId="1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A5A2C-1527-4AFB-8AC7-7B51B80EE1E7}" name="Nz_staff" displayName="Nz_staff" ref="B2:H103" totalsRowCount="1" headerRowDxfId="42" dataDxfId="41">
  <autoFilter ref="B2:H102" xr:uid="{39FA5A2C-1527-4AFB-8AC7-7B51B80EE1E7}"/>
  <tableColumns count="7">
    <tableColumn id="1" xr3:uid="{878606B7-6424-48C6-B077-D8AB64B62AC6}" name="Name" totalsRowLabel="Total" dataDxfId="40" totalsRowDxfId="39"/>
    <tableColumn id="2" xr3:uid="{806B2DC3-FC62-4681-826A-C79AAAD11030}" name="Gender" dataDxfId="38" totalsRowDxfId="37"/>
    <tableColumn id="3" xr3:uid="{59C3C05E-38FB-4492-BAD5-53EF80526572}" name="Department" dataDxfId="36" totalsRowDxfId="35"/>
    <tableColumn id="4" xr3:uid="{43A37D16-DFBD-43DD-9429-8AC06287BB8C}" name="Age" totalsRowFunction="average" dataDxfId="34" totalsRowDxfId="33"/>
    <tableColumn id="5" xr3:uid="{A1DDDDD0-A48B-4DC4-997E-75A2CD74D8A1}" name="Date Joined" dataDxfId="32" totalsRowDxfId="31"/>
    <tableColumn id="6" xr3:uid="{4312B944-CBB4-47CD-A7A8-6B93DED8683E}" name="Salary" totalsRowFunction="average" dataDxfId="30" totalsRowDxfId="29"/>
    <tableColumn id="7" xr3:uid="{79AAEED5-40AF-4129-B12D-1C8D2AE3EB70}" name="Rating" totalsRowFunction="count" dataDxfId="28" totalsRow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8696DA-19C8-40ED-A1B5-5C1901E113D9}" name="India_staff" displayName="India_staff" ref="B2:H115" totalsRowCount="1" headerRowDxfId="26" dataDxfId="25">
  <autoFilter ref="B2:H114" xr:uid="{588696DA-19C8-40ED-A1B5-5C1901E113D9}"/>
  <tableColumns count="7">
    <tableColumn id="1" xr3:uid="{7DE5DAF5-9397-4F2C-9957-EAA720323D5A}" name="Name" totalsRowLabel="Total" dataDxfId="24" totalsRowDxfId="23"/>
    <tableColumn id="2" xr3:uid="{2B22669D-231C-4AAB-A560-A9461F1FBCA1}" name="Gender" dataDxfId="22" totalsRowDxfId="21"/>
    <tableColumn id="3" xr3:uid="{955CC6B2-5F7A-44FD-8D5E-9C4C6D7F428B}" name="Age" totalsRowFunction="average" dataDxfId="20" totalsRowDxfId="19"/>
    <tableColumn id="4" xr3:uid="{23702492-33D7-4F23-A0F0-6C8992F17A2E}" name="Rating" dataDxfId="18" totalsRowDxfId="17"/>
    <tableColumn id="5" xr3:uid="{48263B70-8DA4-4C2A-8A8D-F75AE7944800}" name="Date Joined" dataDxfId="16" totalsRowDxfId="15"/>
    <tableColumn id="6" xr3:uid="{B2D2DBBF-FF8B-417E-B252-8E82713086C7}" name="Department" dataDxfId="14" totalsRowDxfId="13"/>
    <tableColumn id="7" xr3:uid="{7A39760B-2077-4724-A411-D8D762CA6223}" name="Salary" totalsRowFunction="average" dataDxfId="12" totalsRowDxfId="1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7D476-FE67-4962-8EE8-A7D65593B051}" name="Staff" displayName="Staff" ref="B3:L186" tableType="queryTable" totalsRowShown="0">
  <autoFilter ref="B3:L186" xr:uid="{0A47D476-FE67-4962-8EE8-A7D65593B051}"/>
  <sortState xmlns:xlrd2="http://schemas.microsoft.com/office/spreadsheetml/2017/richdata2" ref="B4:L186">
    <sortCondition descending="1" ref="L3:L186"/>
  </sortState>
  <tableColumns count="11">
    <tableColumn id="1" xr3:uid="{1D34DB6C-F667-4FB7-8D31-3E4F76625219}" uniqueName="1" name="Name" queryTableFieldId="1" dataDxfId="8"/>
    <tableColumn id="2" xr3:uid="{D06B5FC7-2BF4-494B-ACB5-76D9C372A5E5}" uniqueName="2" name="Gender" queryTableFieldId="2" dataDxfId="7"/>
    <tableColumn id="3" xr3:uid="{F77DB4A6-541A-46BE-BAA0-639978504CAD}" uniqueName="3" name="Age" queryTableFieldId="3"/>
    <tableColumn id="4" xr3:uid="{F3131CDB-A212-4856-95E7-2B7B5DD9E058}" uniqueName="4" name="Rating" queryTableFieldId="4"/>
    <tableColumn id="5" xr3:uid="{B2C27DCA-7455-4AAA-9054-5272946B2487}" uniqueName="5" name="Date Joined" queryTableFieldId="5" dataDxfId="6"/>
    <tableColumn id="6" xr3:uid="{4EA2E9A2-FA2F-4FBD-8EE1-96A0AAE00826}" uniqueName="6" name="Department" queryTableFieldId="6" dataDxfId="5"/>
    <tableColumn id="7" xr3:uid="{4205E78E-985E-4AFF-B95D-5C9552497FBE}" uniqueName="7" name="Salary" queryTableFieldId="7"/>
    <tableColumn id="9" xr3:uid="{DC0DE56D-E7B2-44C2-92D8-A26200F86D00}" uniqueName="9" name="Tenure" queryTableFieldId="9" dataDxfId="4">
      <calculatedColumnFormula>(TODAY()-Staff[[#This Row],[Date Joined]])/365</calculatedColumnFormula>
    </tableColumn>
    <tableColumn id="8" xr3:uid="{BF4851C5-2245-4426-BFB0-947254EB2E56}" uniqueName="8" name="Country" queryTableFieldId="8"/>
    <tableColumn id="10" xr3:uid="{5196F51E-E3A5-4F9D-A0F7-DC47B01D637A}" uniqueName="10" name="Bonus" queryTableFieldId="10" dataDxfId="3">
      <calculatedColumnFormula>ROUNDUP(IF(Staff[[#This Row],[Tenure]]&gt;2,3%*Staff[[#This Row],[Salary]],0),0)</calculatedColumnFormula>
    </tableColumn>
    <tableColumn id="11" xr3:uid="{744F6644-D8C1-4092-B54E-2EB19906CD99}" uniqueName="11" name="Rating as number" queryTableFieldId="11" dataDxfId="2">
      <calculatedColumnFormula>_xlfn.XLOOKUP(Staff[[#This Row],[Rating]],$O$26:$O$30,$P$26:$P$30)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3D32-6B36-4D8B-99DC-4AD444980F27}">
  <dimension ref="B2:H103"/>
  <sheetViews>
    <sheetView tabSelected="1" workbookViewId="0">
      <selection activeCell="D48" sqref="D48"/>
    </sheetView>
  </sheetViews>
  <sheetFormatPr defaultRowHeight="14.5" x14ac:dyDescent="0.35"/>
  <cols>
    <col min="2" max="6" width="19.26953125" style="1" customWidth="1"/>
    <col min="7" max="7" width="10.1796875" style="1" customWidth="1"/>
    <col min="8" max="8" width="19.26953125" style="1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6" t="s">
        <v>5</v>
      </c>
      <c r="H2" s="1" t="s">
        <v>6</v>
      </c>
    </row>
    <row r="3" spans="2:8" x14ac:dyDescent="0.35">
      <c r="B3" s="1" t="s">
        <v>7</v>
      </c>
      <c r="C3" s="1" t="s">
        <v>8</v>
      </c>
      <c r="D3" s="1" t="s">
        <v>9</v>
      </c>
      <c r="E3" s="1">
        <v>22</v>
      </c>
      <c r="F3" s="2">
        <v>44446</v>
      </c>
      <c r="G3" s="6">
        <v>112780</v>
      </c>
      <c r="H3" s="1" t="s">
        <v>10</v>
      </c>
    </row>
    <row r="4" spans="2:8" x14ac:dyDescent="0.35">
      <c r="B4" s="1" t="s">
        <v>11</v>
      </c>
      <c r="C4" s="1" t="s">
        <v>8</v>
      </c>
      <c r="D4" s="1" t="s">
        <v>12</v>
      </c>
      <c r="E4" s="1">
        <v>46</v>
      </c>
      <c r="F4" s="2">
        <v>44758</v>
      </c>
      <c r="G4" s="6">
        <v>70610</v>
      </c>
      <c r="H4" s="1" t="s">
        <v>13</v>
      </c>
    </row>
    <row r="5" spans="2:8" x14ac:dyDescent="0.35">
      <c r="B5" s="1" t="s">
        <v>14</v>
      </c>
      <c r="C5" s="1" t="s">
        <v>15</v>
      </c>
      <c r="D5" s="1" t="s">
        <v>9</v>
      </c>
      <c r="E5" s="1">
        <v>28</v>
      </c>
      <c r="F5" s="2">
        <v>44357</v>
      </c>
      <c r="G5" s="6">
        <v>53240</v>
      </c>
      <c r="H5" s="1" t="s">
        <v>13</v>
      </c>
    </row>
    <row r="6" spans="2:8" x14ac:dyDescent="0.35">
      <c r="B6" s="1" t="s">
        <v>16</v>
      </c>
      <c r="D6" s="1" t="s">
        <v>17</v>
      </c>
      <c r="E6" s="1">
        <v>37</v>
      </c>
      <c r="F6" s="2">
        <v>44146</v>
      </c>
      <c r="G6" s="6">
        <v>115440</v>
      </c>
      <c r="H6" s="1" t="s">
        <v>18</v>
      </c>
    </row>
    <row r="7" spans="2:8" x14ac:dyDescent="0.35">
      <c r="B7" s="1" t="s">
        <v>19</v>
      </c>
      <c r="C7" s="1" t="s">
        <v>8</v>
      </c>
      <c r="D7" s="1" t="s">
        <v>9</v>
      </c>
      <c r="E7" s="1">
        <v>32</v>
      </c>
      <c r="F7" s="2">
        <v>44465</v>
      </c>
      <c r="G7" s="6">
        <v>53540</v>
      </c>
      <c r="H7" s="1" t="s">
        <v>13</v>
      </c>
    </row>
    <row r="8" spans="2:8" x14ac:dyDescent="0.35">
      <c r="B8" s="1" t="s">
        <v>20</v>
      </c>
      <c r="C8" s="1" t="s">
        <v>15</v>
      </c>
      <c r="D8" s="1" t="s">
        <v>12</v>
      </c>
      <c r="E8" s="1">
        <v>30</v>
      </c>
      <c r="F8" s="2">
        <v>44861</v>
      </c>
      <c r="G8" s="6">
        <v>112570</v>
      </c>
      <c r="H8" s="1" t="s">
        <v>13</v>
      </c>
    </row>
    <row r="9" spans="2:8" x14ac:dyDescent="0.35">
      <c r="B9" s="1" t="s">
        <v>21</v>
      </c>
      <c r="C9" s="1" t="s">
        <v>8</v>
      </c>
      <c r="D9" s="1" t="s">
        <v>12</v>
      </c>
      <c r="E9" s="1">
        <v>33</v>
      </c>
      <c r="F9" s="2">
        <v>44701</v>
      </c>
      <c r="G9" s="6">
        <v>48530</v>
      </c>
      <c r="H9" s="1" t="s">
        <v>10</v>
      </c>
    </row>
    <row r="10" spans="2:8" x14ac:dyDescent="0.35">
      <c r="B10" s="1" t="s">
        <v>22</v>
      </c>
      <c r="C10" s="1" t="s">
        <v>15</v>
      </c>
      <c r="D10" s="1" t="s">
        <v>23</v>
      </c>
      <c r="E10" s="1">
        <v>24</v>
      </c>
      <c r="F10" s="2">
        <v>44148</v>
      </c>
      <c r="G10" s="6">
        <v>62780</v>
      </c>
      <c r="H10" s="1" t="s">
        <v>13</v>
      </c>
    </row>
    <row r="11" spans="2:8" x14ac:dyDescent="0.35">
      <c r="B11" s="1" t="s">
        <v>24</v>
      </c>
      <c r="C11" s="1" t="s">
        <v>8</v>
      </c>
      <c r="D11" s="1" t="s">
        <v>23</v>
      </c>
      <c r="E11" s="1">
        <v>33</v>
      </c>
      <c r="F11" s="2">
        <v>44509</v>
      </c>
      <c r="G11" s="6">
        <v>53870</v>
      </c>
      <c r="H11" s="1" t="s">
        <v>13</v>
      </c>
    </row>
    <row r="12" spans="2:8" x14ac:dyDescent="0.35">
      <c r="B12" s="1" t="s">
        <v>25</v>
      </c>
      <c r="C12" s="1" t="s">
        <v>15</v>
      </c>
      <c r="D12" s="1" t="s">
        <v>26</v>
      </c>
      <c r="E12" s="1">
        <v>27</v>
      </c>
      <c r="F12" s="2">
        <v>44122</v>
      </c>
      <c r="G12" s="6">
        <v>119110</v>
      </c>
      <c r="H12" s="1" t="s">
        <v>13</v>
      </c>
    </row>
    <row r="13" spans="2:8" x14ac:dyDescent="0.35">
      <c r="B13" s="1" t="s">
        <v>27</v>
      </c>
      <c r="C13" s="1" t="s">
        <v>8</v>
      </c>
      <c r="D13" s="1" t="s">
        <v>23</v>
      </c>
      <c r="E13" s="1">
        <v>29</v>
      </c>
      <c r="F13" s="2">
        <v>44180</v>
      </c>
      <c r="G13" s="6">
        <v>112110</v>
      </c>
      <c r="H13" s="1" t="s">
        <v>18</v>
      </c>
    </row>
    <row r="14" spans="2:8" x14ac:dyDescent="0.35">
      <c r="B14" s="1" t="s">
        <v>28</v>
      </c>
      <c r="C14" s="1" t="s">
        <v>8</v>
      </c>
      <c r="D14" s="1" t="s">
        <v>9</v>
      </c>
      <c r="E14" s="1">
        <v>25</v>
      </c>
      <c r="F14" s="2">
        <v>44383</v>
      </c>
      <c r="G14" s="6">
        <v>65700</v>
      </c>
      <c r="H14" s="1" t="s">
        <v>13</v>
      </c>
    </row>
    <row r="15" spans="2:8" x14ac:dyDescent="0.35">
      <c r="B15" s="1" t="s">
        <v>29</v>
      </c>
      <c r="C15" s="1" t="s">
        <v>8</v>
      </c>
      <c r="D15" s="1" t="s">
        <v>23</v>
      </c>
      <c r="E15" s="1">
        <v>37</v>
      </c>
      <c r="F15" s="2">
        <v>44701</v>
      </c>
      <c r="G15" s="6">
        <v>69070</v>
      </c>
      <c r="H15" s="1" t="s">
        <v>13</v>
      </c>
    </row>
    <row r="16" spans="2:8" x14ac:dyDescent="0.35">
      <c r="B16" s="1" t="s">
        <v>30</v>
      </c>
      <c r="C16" s="1" t="s">
        <v>8</v>
      </c>
      <c r="D16" s="1" t="s">
        <v>23</v>
      </c>
      <c r="E16" s="1">
        <v>20</v>
      </c>
      <c r="F16" s="2">
        <v>44459</v>
      </c>
      <c r="G16" s="6">
        <v>107700</v>
      </c>
      <c r="H16" s="1" t="s">
        <v>13</v>
      </c>
    </row>
    <row r="17" spans="2:8" x14ac:dyDescent="0.35">
      <c r="B17" s="1" t="s">
        <v>31</v>
      </c>
      <c r="C17" s="1" t="s">
        <v>15</v>
      </c>
      <c r="D17" s="1" t="s">
        <v>23</v>
      </c>
      <c r="E17" s="1">
        <v>32</v>
      </c>
      <c r="F17" s="2">
        <v>44354</v>
      </c>
      <c r="G17" s="6">
        <v>43840</v>
      </c>
      <c r="H17" s="1" t="s">
        <v>10</v>
      </c>
    </row>
    <row r="18" spans="2:8" x14ac:dyDescent="0.35">
      <c r="B18" s="1" t="s">
        <v>32</v>
      </c>
      <c r="C18" s="1" t="s">
        <v>8</v>
      </c>
      <c r="D18" s="1" t="s">
        <v>12</v>
      </c>
      <c r="E18" s="1">
        <v>40</v>
      </c>
      <c r="F18" s="2">
        <v>44263</v>
      </c>
      <c r="G18" s="6">
        <v>99750</v>
      </c>
      <c r="H18" s="1" t="s">
        <v>13</v>
      </c>
    </row>
    <row r="19" spans="2:8" x14ac:dyDescent="0.35">
      <c r="B19" s="1" t="s">
        <v>33</v>
      </c>
      <c r="C19" s="1" t="s">
        <v>8</v>
      </c>
      <c r="D19" s="1" t="s">
        <v>12</v>
      </c>
      <c r="E19" s="1">
        <v>21</v>
      </c>
      <c r="F19" s="2">
        <v>44104</v>
      </c>
      <c r="G19" s="6">
        <v>37920</v>
      </c>
      <c r="H19" s="1" t="s">
        <v>13</v>
      </c>
    </row>
    <row r="20" spans="2:8" x14ac:dyDescent="0.35">
      <c r="B20" s="1" t="s">
        <v>34</v>
      </c>
      <c r="C20" s="1" t="s">
        <v>8</v>
      </c>
      <c r="D20" s="1" t="s">
        <v>12</v>
      </c>
      <c r="E20" s="1">
        <v>21</v>
      </c>
      <c r="F20" s="2">
        <v>44762</v>
      </c>
      <c r="G20" s="6">
        <v>57090</v>
      </c>
      <c r="H20" s="1" t="s">
        <v>13</v>
      </c>
    </row>
    <row r="21" spans="2:8" x14ac:dyDescent="0.35">
      <c r="B21" s="1" t="s">
        <v>35</v>
      </c>
      <c r="C21" s="1" t="s">
        <v>15</v>
      </c>
      <c r="D21" s="1" t="s">
        <v>23</v>
      </c>
      <c r="E21" s="1">
        <v>31</v>
      </c>
      <c r="F21" s="2">
        <v>44145</v>
      </c>
      <c r="G21" s="6">
        <v>41980</v>
      </c>
      <c r="H21" s="1" t="s">
        <v>13</v>
      </c>
    </row>
    <row r="22" spans="2:8" x14ac:dyDescent="0.35">
      <c r="B22" s="1" t="s">
        <v>36</v>
      </c>
      <c r="C22" s="1" t="s">
        <v>8</v>
      </c>
      <c r="D22" s="1" t="s">
        <v>26</v>
      </c>
      <c r="E22" s="1">
        <v>21</v>
      </c>
      <c r="F22" s="2">
        <v>44242</v>
      </c>
      <c r="G22" s="6">
        <v>75880</v>
      </c>
      <c r="H22" s="1" t="s">
        <v>13</v>
      </c>
    </row>
    <row r="23" spans="2:8" x14ac:dyDescent="0.35">
      <c r="B23" s="1" t="s">
        <v>37</v>
      </c>
      <c r="C23" s="1" t="s">
        <v>15</v>
      </c>
      <c r="D23" s="1" t="s">
        <v>17</v>
      </c>
      <c r="E23" s="1">
        <v>34</v>
      </c>
      <c r="F23" s="2">
        <v>44653</v>
      </c>
      <c r="G23" s="6">
        <v>58940</v>
      </c>
      <c r="H23" s="1" t="s">
        <v>13</v>
      </c>
    </row>
    <row r="24" spans="2:8" x14ac:dyDescent="0.35">
      <c r="B24" s="1" t="s">
        <v>38</v>
      </c>
      <c r="C24" s="1" t="s">
        <v>15</v>
      </c>
      <c r="D24" s="1" t="s">
        <v>17</v>
      </c>
      <c r="E24" s="1">
        <v>30</v>
      </c>
      <c r="F24" s="2">
        <v>44389</v>
      </c>
      <c r="G24" s="6">
        <v>67910</v>
      </c>
      <c r="H24" s="1" t="s">
        <v>18</v>
      </c>
    </row>
    <row r="25" spans="2:8" x14ac:dyDescent="0.35">
      <c r="B25" s="1" t="s">
        <v>39</v>
      </c>
      <c r="C25" s="1" t="s">
        <v>15</v>
      </c>
      <c r="D25" s="1" t="s">
        <v>23</v>
      </c>
      <c r="E25" s="1">
        <v>31</v>
      </c>
      <c r="F25" s="2">
        <v>44663</v>
      </c>
      <c r="G25" s="6">
        <v>58100</v>
      </c>
      <c r="H25" s="1" t="s">
        <v>13</v>
      </c>
    </row>
    <row r="26" spans="2:8" x14ac:dyDescent="0.35">
      <c r="B26" s="1" t="s">
        <v>40</v>
      </c>
      <c r="C26" s="1" t="s">
        <v>8</v>
      </c>
      <c r="D26" s="1" t="s">
        <v>17</v>
      </c>
      <c r="E26" s="1">
        <v>27</v>
      </c>
      <c r="F26" s="2">
        <v>44567</v>
      </c>
      <c r="G26" s="6">
        <v>48980</v>
      </c>
      <c r="H26" s="1" t="s">
        <v>13</v>
      </c>
    </row>
    <row r="27" spans="2:8" x14ac:dyDescent="0.35">
      <c r="B27" s="1" t="s">
        <v>41</v>
      </c>
      <c r="D27" s="1" t="s">
        <v>17</v>
      </c>
      <c r="E27" s="1">
        <v>30</v>
      </c>
      <c r="F27" s="2">
        <v>44597</v>
      </c>
      <c r="G27" s="6">
        <v>64000</v>
      </c>
      <c r="H27" s="1" t="s">
        <v>13</v>
      </c>
    </row>
    <row r="28" spans="2:8" x14ac:dyDescent="0.35">
      <c r="B28" s="1" t="s">
        <v>42</v>
      </c>
      <c r="C28" s="1" t="s">
        <v>15</v>
      </c>
      <c r="D28" s="1" t="s">
        <v>12</v>
      </c>
      <c r="E28" s="1">
        <v>42</v>
      </c>
      <c r="F28" s="2">
        <v>44779</v>
      </c>
      <c r="G28" s="6">
        <v>75000</v>
      </c>
      <c r="H28" s="1" t="s">
        <v>43</v>
      </c>
    </row>
    <row r="29" spans="2:8" x14ac:dyDescent="0.35">
      <c r="B29" s="1" t="s">
        <v>44</v>
      </c>
      <c r="C29" s="1" t="s">
        <v>15</v>
      </c>
      <c r="D29" s="1" t="s">
        <v>23</v>
      </c>
      <c r="E29" s="1">
        <v>40</v>
      </c>
      <c r="F29" s="2">
        <v>44337</v>
      </c>
      <c r="G29" s="6">
        <v>87620</v>
      </c>
      <c r="H29" s="1" t="s">
        <v>13</v>
      </c>
    </row>
    <row r="30" spans="2:8" x14ac:dyDescent="0.35">
      <c r="B30" s="1" t="s">
        <v>45</v>
      </c>
      <c r="C30" s="1" t="s">
        <v>15</v>
      </c>
      <c r="D30" s="1" t="s">
        <v>23</v>
      </c>
      <c r="E30" s="1">
        <v>29</v>
      </c>
      <c r="F30" s="2">
        <v>44023</v>
      </c>
      <c r="G30" s="6">
        <v>34980</v>
      </c>
      <c r="H30" s="1" t="s">
        <v>13</v>
      </c>
    </row>
    <row r="31" spans="2:8" x14ac:dyDescent="0.35">
      <c r="B31" s="1" t="s">
        <v>46</v>
      </c>
      <c r="C31" s="1" t="s">
        <v>15</v>
      </c>
      <c r="D31" s="1" t="s">
        <v>17</v>
      </c>
      <c r="E31" s="1">
        <v>28</v>
      </c>
      <c r="F31" s="2">
        <v>44185</v>
      </c>
      <c r="G31" s="6">
        <v>75970</v>
      </c>
      <c r="H31" s="1" t="s">
        <v>13</v>
      </c>
    </row>
    <row r="32" spans="2:8" x14ac:dyDescent="0.35">
      <c r="B32" s="1" t="s">
        <v>47</v>
      </c>
      <c r="C32" s="1" t="s">
        <v>15</v>
      </c>
      <c r="D32" s="1" t="s">
        <v>17</v>
      </c>
      <c r="E32" s="1">
        <v>34</v>
      </c>
      <c r="F32" s="2">
        <v>44612</v>
      </c>
      <c r="G32" s="6">
        <v>60130</v>
      </c>
      <c r="H32" s="1" t="s">
        <v>13</v>
      </c>
    </row>
    <row r="33" spans="2:8" x14ac:dyDescent="0.35">
      <c r="B33" s="1" t="s">
        <v>48</v>
      </c>
      <c r="C33" s="1" t="s">
        <v>15</v>
      </c>
      <c r="D33" s="1" t="s">
        <v>23</v>
      </c>
      <c r="E33" s="1">
        <v>33</v>
      </c>
      <c r="F33" s="2">
        <v>44374</v>
      </c>
      <c r="G33" s="6">
        <v>75480</v>
      </c>
      <c r="H33" s="1" t="s">
        <v>49</v>
      </c>
    </row>
    <row r="34" spans="2:8" x14ac:dyDescent="0.35">
      <c r="B34" s="1" t="s">
        <v>50</v>
      </c>
      <c r="C34" s="1" t="s">
        <v>8</v>
      </c>
      <c r="D34" s="1" t="s">
        <v>12</v>
      </c>
      <c r="E34" s="1">
        <v>33</v>
      </c>
      <c r="F34" s="2">
        <v>44164</v>
      </c>
      <c r="G34" s="6">
        <v>115920</v>
      </c>
      <c r="H34" s="1" t="s">
        <v>13</v>
      </c>
    </row>
    <row r="35" spans="2:8" x14ac:dyDescent="0.35">
      <c r="B35" s="1" t="s">
        <v>51</v>
      </c>
      <c r="C35" s="1" t="s">
        <v>15</v>
      </c>
      <c r="D35" s="1" t="s">
        <v>9</v>
      </c>
      <c r="E35" s="1">
        <v>36</v>
      </c>
      <c r="F35" s="2">
        <v>44494</v>
      </c>
      <c r="G35" s="6">
        <v>78540</v>
      </c>
      <c r="H35" s="1" t="s">
        <v>13</v>
      </c>
    </row>
    <row r="36" spans="2:8" x14ac:dyDescent="0.35">
      <c r="B36" s="1" t="s">
        <v>52</v>
      </c>
      <c r="C36" s="1" t="s">
        <v>8</v>
      </c>
      <c r="D36" s="1" t="s">
        <v>12</v>
      </c>
      <c r="E36" s="1">
        <v>25</v>
      </c>
      <c r="F36" s="2">
        <v>44726</v>
      </c>
      <c r="G36" s="6">
        <v>109190</v>
      </c>
      <c r="H36" s="1" t="s">
        <v>10</v>
      </c>
    </row>
    <row r="37" spans="2:8" x14ac:dyDescent="0.35">
      <c r="B37" s="1" t="s">
        <v>53</v>
      </c>
      <c r="C37" s="1" t="s">
        <v>15</v>
      </c>
      <c r="D37" s="1" t="s">
        <v>9</v>
      </c>
      <c r="E37" s="1">
        <v>34</v>
      </c>
      <c r="F37" s="2">
        <v>44721</v>
      </c>
      <c r="G37" s="6">
        <v>49630</v>
      </c>
      <c r="H37" s="1" t="s">
        <v>18</v>
      </c>
    </row>
    <row r="38" spans="2:8" x14ac:dyDescent="0.35">
      <c r="B38" s="1" t="s">
        <v>54</v>
      </c>
      <c r="C38" s="1" t="s">
        <v>15</v>
      </c>
      <c r="D38" s="1" t="s">
        <v>12</v>
      </c>
      <c r="E38" s="1">
        <v>28</v>
      </c>
      <c r="F38" s="2">
        <v>44630</v>
      </c>
      <c r="G38" s="6">
        <v>99970</v>
      </c>
      <c r="H38" s="1" t="s">
        <v>13</v>
      </c>
    </row>
    <row r="39" spans="2:8" x14ac:dyDescent="0.35">
      <c r="B39" s="1" t="s">
        <v>55</v>
      </c>
      <c r="C39" s="1" t="s">
        <v>15</v>
      </c>
      <c r="D39" s="1" t="s">
        <v>23</v>
      </c>
      <c r="E39" s="1">
        <v>33</v>
      </c>
      <c r="F39" s="2">
        <v>44190</v>
      </c>
      <c r="G39" s="6">
        <v>96140</v>
      </c>
      <c r="H39" s="1" t="s">
        <v>13</v>
      </c>
    </row>
    <row r="40" spans="2:8" x14ac:dyDescent="0.35">
      <c r="B40" s="1" t="s">
        <v>56</v>
      </c>
      <c r="C40" s="1" t="s">
        <v>8</v>
      </c>
      <c r="D40" s="1" t="s">
        <v>12</v>
      </c>
      <c r="E40" s="1">
        <v>31</v>
      </c>
      <c r="F40" s="2">
        <v>44724</v>
      </c>
      <c r="G40" s="6">
        <v>103550</v>
      </c>
      <c r="H40" s="1" t="s">
        <v>13</v>
      </c>
    </row>
    <row r="41" spans="2:8" x14ac:dyDescent="0.35">
      <c r="B41" s="1" t="s">
        <v>57</v>
      </c>
      <c r="C41" s="1" t="s">
        <v>8</v>
      </c>
      <c r="D41" s="1" t="s">
        <v>23</v>
      </c>
      <c r="E41" s="1">
        <v>31</v>
      </c>
      <c r="F41" s="2">
        <v>44511</v>
      </c>
      <c r="G41" s="6">
        <v>48950</v>
      </c>
      <c r="H41" s="1" t="s">
        <v>13</v>
      </c>
    </row>
    <row r="42" spans="2:8" x14ac:dyDescent="0.35">
      <c r="B42" s="1" t="s">
        <v>58</v>
      </c>
      <c r="C42" s="1" t="s">
        <v>8</v>
      </c>
      <c r="D42" s="1" t="s">
        <v>17</v>
      </c>
      <c r="E42" s="1">
        <v>24</v>
      </c>
      <c r="F42" s="2">
        <v>44436</v>
      </c>
      <c r="G42" s="6">
        <v>52610</v>
      </c>
      <c r="H42" s="1" t="s">
        <v>18</v>
      </c>
    </row>
    <row r="43" spans="2:8" x14ac:dyDescent="0.35">
      <c r="B43" s="1" t="s">
        <v>59</v>
      </c>
      <c r="C43" s="1" t="s">
        <v>15</v>
      </c>
      <c r="D43" s="1" t="s">
        <v>12</v>
      </c>
      <c r="E43" s="1">
        <v>36</v>
      </c>
      <c r="F43" s="2">
        <v>44529</v>
      </c>
      <c r="G43" s="6">
        <v>78390</v>
      </c>
      <c r="H43" s="1" t="s">
        <v>13</v>
      </c>
    </row>
    <row r="44" spans="2:8" x14ac:dyDescent="0.35">
      <c r="B44" s="1" t="s">
        <v>60</v>
      </c>
      <c r="C44" s="1" t="s">
        <v>15</v>
      </c>
      <c r="D44" s="1" t="s">
        <v>17</v>
      </c>
      <c r="E44" s="1">
        <v>33</v>
      </c>
      <c r="F44" s="2">
        <v>44809</v>
      </c>
      <c r="G44" s="6">
        <v>86570</v>
      </c>
      <c r="H44" s="1" t="s">
        <v>13</v>
      </c>
    </row>
    <row r="45" spans="2:8" x14ac:dyDescent="0.35">
      <c r="B45" s="1" t="s">
        <v>61</v>
      </c>
      <c r="C45" s="1" t="s">
        <v>15</v>
      </c>
      <c r="D45" s="1" t="s">
        <v>23</v>
      </c>
      <c r="E45" s="1">
        <v>27</v>
      </c>
      <c r="F45" s="2">
        <v>44686</v>
      </c>
      <c r="G45" s="6">
        <v>83750</v>
      </c>
      <c r="H45" s="1" t="s">
        <v>13</v>
      </c>
    </row>
    <row r="46" spans="2:8" x14ac:dyDescent="0.35">
      <c r="B46" s="1" t="s">
        <v>62</v>
      </c>
      <c r="C46" s="1" t="s">
        <v>15</v>
      </c>
      <c r="D46" s="1" t="s">
        <v>17</v>
      </c>
      <c r="E46" s="1">
        <v>34</v>
      </c>
      <c r="F46" s="2">
        <v>44445</v>
      </c>
      <c r="G46" s="6">
        <v>92450</v>
      </c>
      <c r="H46" s="1" t="s">
        <v>13</v>
      </c>
    </row>
    <row r="47" spans="2:8" x14ac:dyDescent="0.35">
      <c r="B47" s="1" t="s">
        <v>63</v>
      </c>
      <c r="C47" s="1" t="s">
        <v>8</v>
      </c>
      <c r="D47" s="1" t="s">
        <v>23</v>
      </c>
      <c r="E47" s="1">
        <v>20</v>
      </c>
      <c r="F47" s="2">
        <v>44183</v>
      </c>
      <c r="G47" s="6">
        <v>112650</v>
      </c>
      <c r="H47" s="1" t="s">
        <v>13</v>
      </c>
    </row>
    <row r="48" spans="2:8" x14ac:dyDescent="0.35">
      <c r="B48" s="1" t="s">
        <v>64</v>
      </c>
      <c r="C48" s="1" t="s">
        <v>8</v>
      </c>
      <c r="D48" s="1" t="s">
        <v>12</v>
      </c>
      <c r="E48" s="1">
        <v>20</v>
      </c>
      <c r="F48" s="2">
        <v>44744</v>
      </c>
      <c r="G48" s="6">
        <v>79570</v>
      </c>
      <c r="H48" s="1" t="s">
        <v>13</v>
      </c>
    </row>
    <row r="49" spans="2:8" x14ac:dyDescent="0.35">
      <c r="B49" s="1" t="s">
        <v>65</v>
      </c>
      <c r="C49" s="1" t="s">
        <v>15</v>
      </c>
      <c r="D49" s="1" t="s">
        <v>9</v>
      </c>
      <c r="E49" s="1">
        <v>20</v>
      </c>
      <c r="F49" s="2">
        <v>44537</v>
      </c>
      <c r="G49" s="6">
        <v>68900</v>
      </c>
      <c r="H49" s="1" t="s">
        <v>18</v>
      </c>
    </row>
    <row r="50" spans="2:8" x14ac:dyDescent="0.35">
      <c r="B50" s="1" t="s">
        <v>66</v>
      </c>
      <c r="C50" s="1" t="s">
        <v>15</v>
      </c>
      <c r="D50" s="1" t="s">
        <v>23</v>
      </c>
      <c r="E50" s="1">
        <v>25</v>
      </c>
      <c r="F50" s="2">
        <v>44694</v>
      </c>
      <c r="G50" s="6">
        <v>80700</v>
      </c>
      <c r="H50" s="1" t="s">
        <v>10</v>
      </c>
    </row>
    <row r="51" spans="2:8" x14ac:dyDescent="0.35">
      <c r="B51" s="1" t="s">
        <v>67</v>
      </c>
      <c r="C51" s="1" t="s">
        <v>8</v>
      </c>
      <c r="D51" s="1" t="s">
        <v>12</v>
      </c>
      <c r="E51" s="1">
        <v>19</v>
      </c>
      <c r="F51" s="2">
        <v>44277</v>
      </c>
      <c r="G51" s="6">
        <v>58960</v>
      </c>
      <c r="H51" s="1" t="s">
        <v>13</v>
      </c>
    </row>
    <row r="52" spans="2:8" x14ac:dyDescent="0.35">
      <c r="B52" s="1" t="s">
        <v>68</v>
      </c>
      <c r="C52" s="1" t="s">
        <v>8</v>
      </c>
      <c r="D52" s="1" t="s">
        <v>23</v>
      </c>
      <c r="E52" s="1">
        <v>36</v>
      </c>
      <c r="F52" s="2">
        <v>44019</v>
      </c>
      <c r="G52" s="6">
        <v>118840</v>
      </c>
      <c r="H52" s="1" t="s">
        <v>13</v>
      </c>
    </row>
    <row r="53" spans="2:8" x14ac:dyDescent="0.35">
      <c r="B53" s="1" t="s">
        <v>69</v>
      </c>
      <c r="C53" s="1" t="s">
        <v>8</v>
      </c>
      <c r="D53" s="1" t="s">
        <v>17</v>
      </c>
      <c r="E53" s="1">
        <v>28</v>
      </c>
      <c r="F53" s="2">
        <v>44041</v>
      </c>
      <c r="G53" s="6">
        <v>48170</v>
      </c>
      <c r="H53" s="1" t="s">
        <v>10</v>
      </c>
    </row>
    <row r="54" spans="2:8" x14ac:dyDescent="0.35">
      <c r="B54" s="1" t="s">
        <v>70</v>
      </c>
      <c r="C54" s="1" t="s">
        <v>15</v>
      </c>
      <c r="D54" s="1" t="s">
        <v>26</v>
      </c>
      <c r="E54" s="1">
        <v>32</v>
      </c>
      <c r="F54" s="2">
        <v>44400</v>
      </c>
      <c r="G54" s="6">
        <v>45510</v>
      </c>
      <c r="H54" s="1" t="s">
        <v>13</v>
      </c>
    </row>
    <row r="55" spans="2:8" x14ac:dyDescent="0.35">
      <c r="B55" s="1" t="s">
        <v>63</v>
      </c>
      <c r="C55" s="1" t="s">
        <v>8</v>
      </c>
      <c r="D55" s="1" t="s">
        <v>12</v>
      </c>
      <c r="E55" s="1">
        <v>34</v>
      </c>
      <c r="F55" s="2">
        <v>44703</v>
      </c>
      <c r="G55" s="6">
        <v>112650</v>
      </c>
      <c r="H55" s="1" t="s">
        <v>13</v>
      </c>
    </row>
    <row r="56" spans="2:8" x14ac:dyDescent="0.35">
      <c r="B56" s="1" t="s">
        <v>71</v>
      </c>
      <c r="C56" s="1" t="s">
        <v>15</v>
      </c>
      <c r="D56" s="1" t="s">
        <v>12</v>
      </c>
      <c r="E56" s="1">
        <v>36</v>
      </c>
      <c r="F56" s="2">
        <v>44085</v>
      </c>
      <c r="G56" s="6">
        <v>114890</v>
      </c>
      <c r="H56" s="1" t="s">
        <v>13</v>
      </c>
    </row>
    <row r="57" spans="2:8" x14ac:dyDescent="0.35">
      <c r="B57" s="1" t="s">
        <v>72</v>
      </c>
      <c r="C57" s="1" t="s">
        <v>8</v>
      </c>
      <c r="D57" s="1" t="s">
        <v>23</v>
      </c>
      <c r="E57" s="1">
        <v>30</v>
      </c>
      <c r="F57" s="2">
        <v>44850</v>
      </c>
      <c r="G57" s="6">
        <v>69710</v>
      </c>
      <c r="H57" s="1" t="s">
        <v>13</v>
      </c>
    </row>
    <row r="58" spans="2:8" x14ac:dyDescent="0.35">
      <c r="B58" s="1" t="s">
        <v>73</v>
      </c>
      <c r="C58" s="1" t="s">
        <v>8</v>
      </c>
      <c r="D58" s="1" t="s">
        <v>17</v>
      </c>
      <c r="E58" s="1">
        <v>36</v>
      </c>
      <c r="F58" s="2">
        <v>44333</v>
      </c>
      <c r="G58" s="6">
        <v>71380</v>
      </c>
      <c r="H58" s="1" t="s">
        <v>13</v>
      </c>
    </row>
    <row r="59" spans="2:8" x14ac:dyDescent="0.35">
      <c r="B59" s="1" t="s">
        <v>74</v>
      </c>
      <c r="C59" s="1" t="s">
        <v>15</v>
      </c>
      <c r="D59" s="1" t="s">
        <v>9</v>
      </c>
      <c r="E59" s="1">
        <v>38</v>
      </c>
      <c r="F59" s="2">
        <v>44377</v>
      </c>
      <c r="G59" s="6">
        <v>109160</v>
      </c>
      <c r="H59" s="1" t="s">
        <v>43</v>
      </c>
    </row>
    <row r="60" spans="2:8" x14ac:dyDescent="0.35">
      <c r="B60" s="1" t="s">
        <v>75</v>
      </c>
      <c r="C60" s="1" t="s">
        <v>8</v>
      </c>
      <c r="D60" s="1" t="s">
        <v>12</v>
      </c>
      <c r="E60" s="1">
        <v>27</v>
      </c>
      <c r="F60" s="2">
        <v>44609</v>
      </c>
      <c r="G60" s="6">
        <v>113280</v>
      </c>
      <c r="H60" s="1" t="s">
        <v>49</v>
      </c>
    </row>
    <row r="61" spans="2:8" x14ac:dyDescent="0.35">
      <c r="B61" s="1" t="s">
        <v>76</v>
      </c>
      <c r="C61" s="1" t="s">
        <v>8</v>
      </c>
      <c r="D61" s="1" t="s">
        <v>23</v>
      </c>
      <c r="E61" s="1">
        <v>30</v>
      </c>
      <c r="F61" s="2">
        <v>44273</v>
      </c>
      <c r="G61" s="6">
        <v>69120</v>
      </c>
      <c r="H61" s="1" t="s">
        <v>13</v>
      </c>
    </row>
    <row r="62" spans="2:8" x14ac:dyDescent="0.35">
      <c r="B62" s="1" t="s">
        <v>77</v>
      </c>
      <c r="C62" s="1" t="s">
        <v>15</v>
      </c>
      <c r="D62" s="1" t="s">
        <v>26</v>
      </c>
      <c r="E62" s="1">
        <v>37</v>
      </c>
      <c r="F62" s="2">
        <v>44451</v>
      </c>
      <c r="G62" s="6">
        <v>118100</v>
      </c>
      <c r="H62" s="1" t="s">
        <v>13</v>
      </c>
    </row>
    <row r="63" spans="2:8" x14ac:dyDescent="0.35">
      <c r="B63" s="1" t="s">
        <v>78</v>
      </c>
      <c r="C63" s="1" t="s">
        <v>15</v>
      </c>
      <c r="D63" s="1" t="s">
        <v>12</v>
      </c>
      <c r="E63" s="1">
        <v>22</v>
      </c>
      <c r="F63" s="2">
        <v>44450</v>
      </c>
      <c r="G63" s="6">
        <v>76900</v>
      </c>
      <c r="H63" s="1" t="s">
        <v>10</v>
      </c>
    </row>
    <row r="64" spans="2:8" x14ac:dyDescent="0.35">
      <c r="B64" s="1" t="s">
        <v>79</v>
      </c>
      <c r="C64" s="1" t="s">
        <v>15</v>
      </c>
      <c r="D64" s="1" t="s">
        <v>23</v>
      </c>
      <c r="E64" s="1">
        <v>43</v>
      </c>
      <c r="F64" s="2">
        <v>45045</v>
      </c>
      <c r="G64" s="6">
        <v>114870</v>
      </c>
      <c r="H64" s="1" t="s">
        <v>13</v>
      </c>
    </row>
    <row r="65" spans="2:8" x14ac:dyDescent="0.35">
      <c r="B65" s="1" t="s">
        <v>80</v>
      </c>
      <c r="D65" s="1" t="s">
        <v>23</v>
      </c>
      <c r="E65" s="1">
        <v>32</v>
      </c>
      <c r="F65" s="2">
        <v>44774</v>
      </c>
      <c r="G65" s="6">
        <v>91310</v>
      </c>
      <c r="H65" s="1" t="s">
        <v>13</v>
      </c>
    </row>
    <row r="66" spans="2:8" x14ac:dyDescent="0.35">
      <c r="B66" s="1" t="s">
        <v>81</v>
      </c>
      <c r="C66" s="1" t="s">
        <v>15</v>
      </c>
      <c r="D66" s="1" t="s">
        <v>12</v>
      </c>
      <c r="E66" s="1">
        <v>28</v>
      </c>
      <c r="F66" s="2">
        <v>44486</v>
      </c>
      <c r="G66" s="6">
        <v>104770</v>
      </c>
      <c r="H66" s="1" t="s">
        <v>13</v>
      </c>
    </row>
    <row r="67" spans="2:8" x14ac:dyDescent="0.35">
      <c r="B67" s="1" t="s">
        <v>82</v>
      </c>
      <c r="C67" s="1" t="s">
        <v>8</v>
      </c>
      <c r="D67" s="1" t="s">
        <v>9</v>
      </c>
      <c r="E67" s="1">
        <v>27</v>
      </c>
      <c r="F67" s="2">
        <v>44134</v>
      </c>
      <c r="G67" s="6">
        <v>54970</v>
      </c>
      <c r="H67" s="1" t="s">
        <v>13</v>
      </c>
    </row>
    <row r="68" spans="2:8" x14ac:dyDescent="0.35">
      <c r="B68" s="1" t="s">
        <v>83</v>
      </c>
      <c r="D68" s="1" t="s">
        <v>23</v>
      </c>
      <c r="E68" s="1">
        <v>26</v>
      </c>
      <c r="F68" s="2">
        <v>44271</v>
      </c>
      <c r="G68" s="6">
        <v>90700</v>
      </c>
      <c r="H68" s="1" t="s">
        <v>10</v>
      </c>
    </row>
    <row r="69" spans="2:8" x14ac:dyDescent="0.35">
      <c r="B69" s="1" t="s">
        <v>84</v>
      </c>
      <c r="C69" s="1" t="s">
        <v>15</v>
      </c>
      <c r="D69" s="1" t="s">
        <v>9</v>
      </c>
      <c r="E69" s="1">
        <v>38</v>
      </c>
      <c r="F69" s="2">
        <v>44329</v>
      </c>
      <c r="G69" s="6">
        <v>56870</v>
      </c>
      <c r="H69" s="1" t="s">
        <v>10</v>
      </c>
    </row>
    <row r="70" spans="2:8" x14ac:dyDescent="0.35">
      <c r="B70" s="1" t="s">
        <v>85</v>
      </c>
      <c r="C70" s="1" t="s">
        <v>15</v>
      </c>
      <c r="D70" s="1" t="s">
        <v>9</v>
      </c>
      <c r="E70" s="1">
        <v>25</v>
      </c>
      <c r="F70" s="2">
        <v>44205</v>
      </c>
      <c r="G70" s="6">
        <v>92700</v>
      </c>
      <c r="H70" s="1" t="s">
        <v>13</v>
      </c>
    </row>
    <row r="71" spans="2:8" x14ac:dyDescent="0.35">
      <c r="B71" s="1" t="s">
        <v>86</v>
      </c>
      <c r="C71" s="1" t="s">
        <v>15</v>
      </c>
      <c r="D71" s="1" t="s">
        <v>17</v>
      </c>
      <c r="E71" s="1">
        <v>21</v>
      </c>
      <c r="F71" s="2">
        <v>44317</v>
      </c>
      <c r="G71" s="6">
        <v>65920</v>
      </c>
      <c r="H71" s="1" t="s">
        <v>13</v>
      </c>
    </row>
    <row r="72" spans="2:8" x14ac:dyDescent="0.35">
      <c r="B72" s="1" t="s">
        <v>87</v>
      </c>
      <c r="C72" s="1" t="s">
        <v>8</v>
      </c>
      <c r="D72" s="1" t="s">
        <v>12</v>
      </c>
      <c r="E72" s="1">
        <v>26</v>
      </c>
      <c r="F72" s="2">
        <v>44225</v>
      </c>
      <c r="G72" s="6">
        <v>47360</v>
      </c>
      <c r="H72" s="1" t="s">
        <v>13</v>
      </c>
    </row>
    <row r="73" spans="2:8" x14ac:dyDescent="0.35">
      <c r="B73" s="1" t="s">
        <v>88</v>
      </c>
      <c r="C73" s="1" t="s">
        <v>8</v>
      </c>
      <c r="D73" s="1" t="s">
        <v>12</v>
      </c>
      <c r="E73" s="1">
        <v>30</v>
      </c>
      <c r="F73" s="2">
        <v>44666</v>
      </c>
      <c r="G73" s="6">
        <v>60570</v>
      </c>
      <c r="H73" s="1" t="s">
        <v>13</v>
      </c>
    </row>
    <row r="74" spans="2:8" x14ac:dyDescent="0.35">
      <c r="B74" s="1" t="s">
        <v>89</v>
      </c>
      <c r="C74" s="1" t="s">
        <v>15</v>
      </c>
      <c r="D74" s="1" t="s">
        <v>12</v>
      </c>
      <c r="E74" s="1">
        <v>28</v>
      </c>
      <c r="F74" s="2">
        <v>44649</v>
      </c>
      <c r="G74" s="6">
        <v>104120</v>
      </c>
      <c r="H74" s="1" t="s">
        <v>13</v>
      </c>
    </row>
    <row r="75" spans="2:8" x14ac:dyDescent="0.35">
      <c r="B75" s="1" t="s">
        <v>90</v>
      </c>
      <c r="C75" s="1" t="s">
        <v>8</v>
      </c>
      <c r="D75" s="1" t="s">
        <v>23</v>
      </c>
      <c r="E75" s="1">
        <v>37</v>
      </c>
      <c r="F75" s="2">
        <v>44338</v>
      </c>
      <c r="G75" s="6">
        <v>88050</v>
      </c>
      <c r="H75" s="1" t="s">
        <v>18</v>
      </c>
    </row>
    <row r="76" spans="2:8" x14ac:dyDescent="0.35">
      <c r="B76" s="1" t="s">
        <v>91</v>
      </c>
      <c r="C76" s="1" t="s">
        <v>8</v>
      </c>
      <c r="D76" s="1" t="s">
        <v>23</v>
      </c>
      <c r="E76" s="1">
        <v>24</v>
      </c>
      <c r="F76" s="2">
        <v>44686</v>
      </c>
      <c r="G76" s="6">
        <v>100420</v>
      </c>
      <c r="H76" s="1" t="s">
        <v>13</v>
      </c>
    </row>
    <row r="77" spans="2:8" x14ac:dyDescent="0.35">
      <c r="B77" s="1" t="s">
        <v>92</v>
      </c>
      <c r="C77" s="1" t="s">
        <v>15</v>
      </c>
      <c r="D77" s="1" t="s">
        <v>12</v>
      </c>
      <c r="E77" s="1">
        <v>30</v>
      </c>
      <c r="F77" s="2">
        <v>44850</v>
      </c>
      <c r="G77" s="6">
        <v>114180</v>
      </c>
      <c r="H77" s="1" t="s">
        <v>13</v>
      </c>
    </row>
    <row r="78" spans="2:8" x14ac:dyDescent="0.35">
      <c r="B78" s="1" t="s">
        <v>93</v>
      </c>
      <c r="C78" s="1" t="s">
        <v>15</v>
      </c>
      <c r="D78" s="1" t="s">
        <v>23</v>
      </c>
      <c r="E78" s="1">
        <v>21</v>
      </c>
      <c r="F78" s="2">
        <v>44678</v>
      </c>
      <c r="G78" s="6">
        <v>33920</v>
      </c>
      <c r="H78" s="1" t="s">
        <v>13</v>
      </c>
    </row>
    <row r="79" spans="2:8" x14ac:dyDescent="0.35">
      <c r="B79" s="1" t="s">
        <v>94</v>
      </c>
      <c r="C79" s="1" t="s">
        <v>8</v>
      </c>
      <c r="D79" s="1" t="s">
        <v>12</v>
      </c>
      <c r="E79" s="1">
        <v>23</v>
      </c>
      <c r="F79" s="2">
        <v>44440</v>
      </c>
      <c r="G79" s="6">
        <v>106460</v>
      </c>
      <c r="H79" s="1" t="s">
        <v>13</v>
      </c>
    </row>
    <row r="80" spans="2:8" x14ac:dyDescent="0.35">
      <c r="B80" s="1" t="s">
        <v>95</v>
      </c>
      <c r="C80" s="1" t="s">
        <v>8</v>
      </c>
      <c r="D80" s="1" t="s">
        <v>12</v>
      </c>
      <c r="E80" s="1">
        <v>35</v>
      </c>
      <c r="F80" s="2">
        <v>44727</v>
      </c>
      <c r="G80" s="6">
        <v>40400</v>
      </c>
      <c r="H80" s="1" t="s">
        <v>13</v>
      </c>
    </row>
    <row r="81" spans="2:8" x14ac:dyDescent="0.35">
      <c r="B81" s="1" t="s">
        <v>96</v>
      </c>
      <c r="C81" s="1" t="s">
        <v>8</v>
      </c>
      <c r="D81" s="1" t="s">
        <v>17</v>
      </c>
      <c r="E81" s="1">
        <v>27</v>
      </c>
      <c r="F81" s="2">
        <v>44236</v>
      </c>
      <c r="G81" s="6">
        <v>91650</v>
      </c>
      <c r="H81" s="1" t="s">
        <v>10</v>
      </c>
    </row>
    <row r="82" spans="2:8" x14ac:dyDescent="0.35">
      <c r="B82" s="1" t="s">
        <v>97</v>
      </c>
      <c r="C82" s="1" t="s">
        <v>8</v>
      </c>
      <c r="D82" s="1" t="s">
        <v>9</v>
      </c>
      <c r="E82" s="1">
        <v>43</v>
      </c>
      <c r="F82" s="2">
        <v>44620</v>
      </c>
      <c r="G82" s="6">
        <v>36040</v>
      </c>
      <c r="H82" s="1" t="s">
        <v>13</v>
      </c>
    </row>
    <row r="83" spans="2:8" x14ac:dyDescent="0.35">
      <c r="B83" s="1" t="s">
        <v>98</v>
      </c>
      <c r="C83" s="1" t="s">
        <v>15</v>
      </c>
      <c r="D83" s="1" t="s">
        <v>23</v>
      </c>
      <c r="E83" s="1">
        <v>40</v>
      </c>
      <c r="F83" s="2">
        <v>44381</v>
      </c>
      <c r="G83" s="6">
        <v>104410</v>
      </c>
      <c r="H83" s="1" t="s">
        <v>13</v>
      </c>
    </row>
    <row r="84" spans="2:8" x14ac:dyDescent="0.35">
      <c r="B84" s="1" t="s">
        <v>99</v>
      </c>
      <c r="C84" s="1" t="s">
        <v>8</v>
      </c>
      <c r="D84" s="1" t="s">
        <v>17</v>
      </c>
      <c r="E84" s="1">
        <v>30</v>
      </c>
      <c r="F84" s="2">
        <v>44606</v>
      </c>
      <c r="G84" s="6">
        <v>96800</v>
      </c>
      <c r="H84" s="1" t="s">
        <v>13</v>
      </c>
    </row>
    <row r="85" spans="2:8" x14ac:dyDescent="0.35">
      <c r="B85" s="1" t="s">
        <v>100</v>
      </c>
      <c r="C85" s="1" t="s">
        <v>15</v>
      </c>
      <c r="D85" s="1" t="s">
        <v>17</v>
      </c>
      <c r="E85" s="1">
        <v>34</v>
      </c>
      <c r="F85" s="2">
        <v>44459</v>
      </c>
      <c r="G85" s="6">
        <v>85000</v>
      </c>
      <c r="H85" s="1" t="s">
        <v>13</v>
      </c>
    </row>
    <row r="86" spans="2:8" x14ac:dyDescent="0.35">
      <c r="B86" s="1" t="s">
        <v>101</v>
      </c>
      <c r="C86" s="1" t="s">
        <v>8</v>
      </c>
      <c r="D86" s="1" t="s">
        <v>9</v>
      </c>
      <c r="E86" s="1">
        <v>28</v>
      </c>
      <c r="F86" s="2">
        <v>44820</v>
      </c>
      <c r="G86" s="6">
        <v>43510</v>
      </c>
      <c r="H86" s="1" t="s">
        <v>49</v>
      </c>
    </row>
    <row r="87" spans="2:8" x14ac:dyDescent="0.35">
      <c r="B87" s="1" t="s">
        <v>102</v>
      </c>
      <c r="C87" s="1" t="s">
        <v>8</v>
      </c>
      <c r="D87" s="1" t="s">
        <v>17</v>
      </c>
      <c r="E87" s="1">
        <v>33</v>
      </c>
      <c r="F87" s="2">
        <v>44243</v>
      </c>
      <c r="G87" s="6">
        <v>59430</v>
      </c>
      <c r="H87" s="1" t="s">
        <v>13</v>
      </c>
    </row>
    <row r="88" spans="2:8" x14ac:dyDescent="0.35">
      <c r="B88" s="1" t="s">
        <v>103</v>
      </c>
      <c r="C88" s="1" t="s">
        <v>15</v>
      </c>
      <c r="D88" s="1" t="s">
        <v>17</v>
      </c>
      <c r="E88" s="1">
        <v>33</v>
      </c>
      <c r="F88" s="2">
        <v>44067</v>
      </c>
      <c r="G88" s="6">
        <v>65360</v>
      </c>
      <c r="H88" s="1" t="s">
        <v>13</v>
      </c>
    </row>
    <row r="89" spans="2:8" x14ac:dyDescent="0.35">
      <c r="B89" s="1" t="s">
        <v>104</v>
      </c>
      <c r="C89" s="1" t="s">
        <v>15</v>
      </c>
      <c r="D89" s="1" t="s">
        <v>12</v>
      </c>
      <c r="E89" s="1">
        <v>32</v>
      </c>
      <c r="F89" s="2">
        <v>44611</v>
      </c>
      <c r="G89" s="6">
        <v>41570</v>
      </c>
      <c r="H89" s="1" t="s">
        <v>13</v>
      </c>
    </row>
    <row r="90" spans="2:8" x14ac:dyDescent="0.35">
      <c r="B90" s="1" t="s">
        <v>105</v>
      </c>
      <c r="C90" s="1" t="s">
        <v>15</v>
      </c>
      <c r="D90" s="1" t="s">
        <v>23</v>
      </c>
      <c r="E90" s="1">
        <v>33</v>
      </c>
      <c r="F90" s="2">
        <v>44312</v>
      </c>
      <c r="G90" s="6">
        <v>75280</v>
      </c>
      <c r="H90" s="1" t="s">
        <v>13</v>
      </c>
    </row>
    <row r="91" spans="2:8" x14ac:dyDescent="0.35">
      <c r="B91" s="1" t="s">
        <v>106</v>
      </c>
      <c r="C91" s="1" t="s">
        <v>8</v>
      </c>
      <c r="D91" s="1" t="s">
        <v>9</v>
      </c>
      <c r="E91" s="1">
        <v>33</v>
      </c>
      <c r="F91" s="2">
        <v>44385</v>
      </c>
      <c r="G91" s="6">
        <v>74550</v>
      </c>
      <c r="H91" s="1" t="s">
        <v>13</v>
      </c>
    </row>
    <row r="92" spans="2:8" x14ac:dyDescent="0.35">
      <c r="B92" s="1" t="s">
        <v>107</v>
      </c>
      <c r="C92" s="1" t="s">
        <v>8</v>
      </c>
      <c r="D92" s="1" t="s">
        <v>12</v>
      </c>
      <c r="E92" s="1">
        <v>30</v>
      </c>
      <c r="F92" s="2">
        <v>44701</v>
      </c>
      <c r="G92" s="6">
        <v>67950</v>
      </c>
      <c r="H92" s="1" t="s">
        <v>13</v>
      </c>
    </row>
    <row r="93" spans="2:8" x14ac:dyDescent="0.35">
      <c r="B93" s="1" t="s">
        <v>108</v>
      </c>
      <c r="C93" s="1" t="s">
        <v>8</v>
      </c>
      <c r="D93" s="1" t="s">
        <v>17</v>
      </c>
      <c r="E93" s="1">
        <v>42</v>
      </c>
      <c r="F93" s="2">
        <v>44731</v>
      </c>
      <c r="G93" s="6">
        <v>70270</v>
      </c>
      <c r="H93" s="1" t="s">
        <v>18</v>
      </c>
    </row>
    <row r="94" spans="2:8" x14ac:dyDescent="0.35">
      <c r="B94" s="1" t="s">
        <v>109</v>
      </c>
      <c r="C94" s="1" t="s">
        <v>8</v>
      </c>
      <c r="D94" s="1" t="s">
        <v>12</v>
      </c>
      <c r="E94" s="1">
        <v>26</v>
      </c>
      <c r="F94" s="2">
        <v>44411</v>
      </c>
      <c r="G94" s="6">
        <v>53540</v>
      </c>
      <c r="H94" s="1" t="s">
        <v>13</v>
      </c>
    </row>
    <row r="95" spans="2:8" x14ac:dyDescent="0.35">
      <c r="B95" s="1" t="s">
        <v>7</v>
      </c>
      <c r="C95" s="1" t="s">
        <v>8</v>
      </c>
      <c r="D95" s="1" t="s">
        <v>9</v>
      </c>
      <c r="E95" s="1">
        <v>22</v>
      </c>
      <c r="F95" s="2">
        <v>44446</v>
      </c>
      <c r="G95" s="6">
        <v>112780</v>
      </c>
      <c r="H95" s="1" t="s">
        <v>10</v>
      </c>
    </row>
    <row r="96" spans="2:8" x14ac:dyDescent="0.35">
      <c r="B96" s="1" t="s">
        <v>11</v>
      </c>
      <c r="C96" s="1" t="s">
        <v>8</v>
      </c>
      <c r="D96" s="1" t="s">
        <v>12</v>
      </c>
      <c r="E96" s="1">
        <v>46</v>
      </c>
      <c r="F96" s="2">
        <v>44758</v>
      </c>
      <c r="G96" s="6">
        <v>70610</v>
      </c>
      <c r="H96" s="1" t="s">
        <v>13</v>
      </c>
    </row>
    <row r="97" spans="2:8" x14ac:dyDescent="0.35">
      <c r="B97" s="1" t="s">
        <v>14</v>
      </c>
      <c r="C97" s="1" t="s">
        <v>15</v>
      </c>
      <c r="D97" s="1" t="s">
        <v>9</v>
      </c>
      <c r="E97" s="1">
        <v>28</v>
      </c>
      <c r="F97" s="2">
        <v>44357</v>
      </c>
      <c r="G97" s="6">
        <v>53240</v>
      </c>
      <c r="H97" s="1" t="s">
        <v>13</v>
      </c>
    </row>
    <row r="98" spans="2:8" x14ac:dyDescent="0.35">
      <c r="B98" s="1" t="s">
        <v>16</v>
      </c>
      <c r="D98" s="1" t="s">
        <v>17</v>
      </c>
      <c r="E98" s="1">
        <v>37</v>
      </c>
      <c r="F98" s="2">
        <v>44146</v>
      </c>
      <c r="G98" s="6">
        <v>115440</v>
      </c>
      <c r="H98" s="1" t="s">
        <v>18</v>
      </c>
    </row>
    <row r="99" spans="2:8" x14ac:dyDescent="0.35">
      <c r="B99" s="1" t="s">
        <v>19</v>
      </c>
      <c r="C99" s="1" t="s">
        <v>8</v>
      </c>
      <c r="D99" s="1" t="s">
        <v>9</v>
      </c>
      <c r="E99" s="1">
        <v>32</v>
      </c>
      <c r="F99" s="2">
        <v>44465</v>
      </c>
      <c r="G99" s="6">
        <v>53540</v>
      </c>
      <c r="H99" s="1" t="s">
        <v>13</v>
      </c>
    </row>
    <row r="100" spans="2:8" x14ac:dyDescent="0.35">
      <c r="B100" s="1" t="s">
        <v>20</v>
      </c>
      <c r="C100" s="1" t="s">
        <v>15</v>
      </c>
      <c r="D100" s="1" t="s">
        <v>12</v>
      </c>
      <c r="E100" s="1">
        <v>30</v>
      </c>
      <c r="F100" s="2">
        <v>44861</v>
      </c>
      <c r="G100" s="6">
        <v>112570</v>
      </c>
      <c r="H100" s="1" t="s">
        <v>13</v>
      </c>
    </row>
    <row r="101" spans="2:8" x14ac:dyDescent="0.35">
      <c r="B101" s="1" t="s">
        <v>21</v>
      </c>
      <c r="C101" s="1" t="s">
        <v>8</v>
      </c>
      <c r="D101" s="1" t="s">
        <v>12</v>
      </c>
      <c r="E101" s="1">
        <v>33</v>
      </c>
      <c r="F101" s="2">
        <v>44701</v>
      </c>
      <c r="G101" s="6">
        <v>48530</v>
      </c>
      <c r="H101" s="1" t="s">
        <v>10</v>
      </c>
    </row>
    <row r="102" spans="2:8" x14ac:dyDescent="0.35">
      <c r="B102" s="1" t="s">
        <v>22</v>
      </c>
      <c r="C102" s="1" t="s">
        <v>15</v>
      </c>
      <c r="D102" s="1" t="s">
        <v>23</v>
      </c>
      <c r="E102" s="1">
        <v>24</v>
      </c>
      <c r="F102" s="2">
        <v>44148</v>
      </c>
      <c r="G102" s="6">
        <v>62780</v>
      </c>
      <c r="H102" s="1" t="s">
        <v>13</v>
      </c>
    </row>
    <row r="103" spans="2:8" x14ac:dyDescent="0.35">
      <c r="B103" s="1" t="s">
        <v>202</v>
      </c>
      <c r="E103" s="1">
        <f>SUBTOTAL(101,Nz_staff[Age])</f>
        <v>30.52</v>
      </c>
      <c r="G103" s="6">
        <f>SUBTOTAL(101,Nz_staff[Salary])</f>
        <v>77472.100000000006</v>
      </c>
      <c r="H103" s="1">
        <f>SUBTOTAL(103,Nz_staff[Rating])</f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A9C3-7BDD-4C47-8131-214EA0D9920A}">
  <dimension ref="B2:H115"/>
  <sheetViews>
    <sheetView topLeftCell="A94" workbookViewId="0">
      <selection activeCell="D115" sqref="D115"/>
    </sheetView>
  </sheetViews>
  <sheetFormatPr defaultRowHeight="14.5" x14ac:dyDescent="0.35"/>
  <cols>
    <col min="2" max="2" width="28.1796875" style="3" bestFit="1" customWidth="1"/>
    <col min="3" max="3" width="9.6328125" style="3" customWidth="1"/>
    <col min="4" max="4" width="7.1796875" style="3" customWidth="1"/>
    <col min="5" max="5" width="13.7265625" style="3" customWidth="1"/>
    <col min="6" max="6" width="12.90625" style="3" bestFit="1" customWidth="1"/>
    <col min="7" max="7" width="13.36328125" style="3" bestFit="1" customWidth="1"/>
    <col min="8" max="8" width="11.81640625" style="3" customWidth="1"/>
  </cols>
  <sheetData>
    <row r="2" spans="2:8" x14ac:dyDescent="0.35">
      <c r="B2" s="3" t="s">
        <v>0</v>
      </c>
      <c r="C2" s="3" t="s">
        <v>1</v>
      </c>
      <c r="D2" s="3" t="s">
        <v>3</v>
      </c>
      <c r="E2" s="3" t="s">
        <v>6</v>
      </c>
      <c r="F2" s="3" t="s">
        <v>4</v>
      </c>
      <c r="G2" s="3" t="s">
        <v>2</v>
      </c>
      <c r="H2" s="5" t="s">
        <v>5</v>
      </c>
    </row>
    <row r="3" spans="2:8" x14ac:dyDescent="0.35">
      <c r="B3" s="3" t="s">
        <v>110</v>
      </c>
      <c r="C3" s="3" t="s">
        <v>8</v>
      </c>
      <c r="D3" s="3">
        <v>20</v>
      </c>
      <c r="E3" s="3" t="s">
        <v>13</v>
      </c>
      <c r="F3" s="4">
        <v>44122</v>
      </c>
      <c r="G3" s="3" t="s">
        <v>23</v>
      </c>
      <c r="H3" s="5">
        <v>112650</v>
      </c>
    </row>
    <row r="4" spans="2:8" x14ac:dyDescent="0.35">
      <c r="B4" s="3" t="s">
        <v>111</v>
      </c>
      <c r="C4" s="3" t="s">
        <v>15</v>
      </c>
      <c r="D4" s="3">
        <v>32</v>
      </c>
      <c r="E4" s="3" t="s">
        <v>10</v>
      </c>
      <c r="F4" s="4">
        <v>44293</v>
      </c>
      <c r="G4" s="3" t="s">
        <v>23</v>
      </c>
      <c r="H4" s="5">
        <v>43840</v>
      </c>
    </row>
    <row r="5" spans="2:8" x14ac:dyDescent="0.35">
      <c r="B5" s="3" t="s">
        <v>112</v>
      </c>
      <c r="C5" s="3" t="s">
        <v>8</v>
      </c>
      <c r="D5" s="3">
        <v>31</v>
      </c>
      <c r="E5" s="3" t="s">
        <v>13</v>
      </c>
      <c r="F5" s="4">
        <v>44663</v>
      </c>
      <c r="G5" s="3" t="s">
        <v>12</v>
      </c>
      <c r="H5" s="5">
        <v>103550</v>
      </c>
    </row>
    <row r="6" spans="2:8" x14ac:dyDescent="0.35">
      <c r="B6" s="3" t="s">
        <v>113</v>
      </c>
      <c r="C6" s="3" t="s">
        <v>15</v>
      </c>
      <c r="D6" s="3">
        <v>32</v>
      </c>
      <c r="E6" s="3" t="s">
        <v>13</v>
      </c>
      <c r="F6" s="4">
        <v>44339</v>
      </c>
      <c r="G6" s="3" t="s">
        <v>26</v>
      </c>
      <c r="H6" s="5">
        <v>45510</v>
      </c>
    </row>
    <row r="7" spans="2:8" x14ac:dyDescent="0.35">
      <c r="B7" s="3" t="s">
        <v>114</v>
      </c>
      <c r="D7" s="3">
        <v>37</v>
      </c>
      <c r="E7" s="3" t="s">
        <v>18</v>
      </c>
      <c r="F7" s="4">
        <v>44085</v>
      </c>
      <c r="G7" s="3" t="s">
        <v>17</v>
      </c>
      <c r="H7" s="5">
        <v>115440</v>
      </c>
    </row>
    <row r="8" spans="2:8" x14ac:dyDescent="0.35">
      <c r="B8" s="3" t="s">
        <v>115</v>
      </c>
      <c r="C8" s="3" t="s">
        <v>15</v>
      </c>
      <c r="D8" s="3">
        <v>38</v>
      </c>
      <c r="E8" s="3" t="s">
        <v>10</v>
      </c>
      <c r="F8" s="4">
        <v>44268</v>
      </c>
      <c r="G8" s="3" t="s">
        <v>9</v>
      </c>
      <c r="H8" s="5">
        <v>56870</v>
      </c>
    </row>
    <row r="9" spans="2:8" x14ac:dyDescent="0.35">
      <c r="B9" s="3" t="s">
        <v>116</v>
      </c>
      <c r="C9" s="3" t="s">
        <v>15</v>
      </c>
      <c r="D9" s="3">
        <v>25</v>
      </c>
      <c r="E9" s="3" t="s">
        <v>13</v>
      </c>
      <c r="F9" s="4">
        <v>44144</v>
      </c>
      <c r="G9" s="3" t="s">
        <v>9</v>
      </c>
      <c r="H9" s="5">
        <v>92700</v>
      </c>
    </row>
    <row r="10" spans="2:8" x14ac:dyDescent="0.35">
      <c r="B10" s="3" t="s">
        <v>117</v>
      </c>
      <c r="D10" s="3">
        <v>32</v>
      </c>
      <c r="E10" s="3" t="s">
        <v>13</v>
      </c>
      <c r="F10" s="4">
        <v>44713</v>
      </c>
      <c r="G10" s="3" t="s">
        <v>23</v>
      </c>
      <c r="H10" s="5">
        <v>91310</v>
      </c>
    </row>
    <row r="11" spans="2:8" x14ac:dyDescent="0.35">
      <c r="B11" s="3" t="s">
        <v>118</v>
      </c>
      <c r="C11" s="3" t="s">
        <v>8</v>
      </c>
      <c r="D11" s="3">
        <v>33</v>
      </c>
      <c r="E11" s="3" t="s">
        <v>13</v>
      </c>
      <c r="F11" s="4">
        <v>44324</v>
      </c>
      <c r="G11" s="3" t="s">
        <v>9</v>
      </c>
      <c r="H11" s="5">
        <v>74550</v>
      </c>
    </row>
    <row r="12" spans="2:8" x14ac:dyDescent="0.35">
      <c r="B12" s="3" t="s">
        <v>119</v>
      </c>
      <c r="C12" s="3" t="s">
        <v>8</v>
      </c>
      <c r="D12" s="3">
        <v>25</v>
      </c>
      <c r="E12" s="3" t="s">
        <v>10</v>
      </c>
      <c r="F12" s="4">
        <v>44665</v>
      </c>
      <c r="G12" s="3" t="s">
        <v>12</v>
      </c>
      <c r="H12" s="5">
        <v>109190</v>
      </c>
    </row>
    <row r="13" spans="2:8" x14ac:dyDescent="0.35">
      <c r="B13" s="3" t="s">
        <v>120</v>
      </c>
      <c r="C13" s="3" t="s">
        <v>15</v>
      </c>
      <c r="D13" s="3">
        <v>40</v>
      </c>
      <c r="E13" s="3" t="s">
        <v>13</v>
      </c>
      <c r="F13" s="4">
        <v>44320</v>
      </c>
      <c r="G13" s="3" t="s">
        <v>23</v>
      </c>
      <c r="H13" s="5">
        <v>104410</v>
      </c>
    </row>
    <row r="14" spans="2:8" x14ac:dyDescent="0.35">
      <c r="B14" s="3" t="s">
        <v>121</v>
      </c>
      <c r="C14" s="3" t="s">
        <v>8</v>
      </c>
      <c r="D14" s="3">
        <v>30</v>
      </c>
      <c r="E14" s="3" t="s">
        <v>13</v>
      </c>
      <c r="F14" s="4">
        <v>44544</v>
      </c>
      <c r="G14" s="3" t="s">
        <v>17</v>
      </c>
      <c r="H14" s="5">
        <v>96800</v>
      </c>
    </row>
    <row r="15" spans="2:8" x14ac:dyDescent="0.35">
      <c r="B15" s="3" t="s">
        <v>122</v>
      </c>
      <c r="C15" s="3" t="s">
        <v>8</v>
      </c>
      <c r="D15" s="3">
        <v>28</v>
      </c>
      <c r="E15" s="3" t="s">
        <v>10</v>
      </c>
      <c r="F15" s="4">
        <v>43980</v>
      </c>
      <c r="G15" s="3" t="s">
        <v>17</v>
      </c>
      <c r="H15" s="5">
        <v>48170</v>
      </c>
    </row>
    <row r="16" spans="2:8" x14ac:dyDescent="0.35">
      <c r="B16" s="3" t="s">
        <v>123</v>
      </c>
      <c r="C16" s="3" t="s">
        <v>8</v>
      </c>
      <c r="D16" s="3">
        <v>21</v>
      </c>
      <c r="E16" s="3" t="s">
        <v>13</v>
      </c>
      <c r="F16" s="4">
        <v>44042</v>
      </c>
      <c r="G16" s="3" t="s">
        <v>12</v>
      </c>
      <c r="H16" s="5">
        <v>37920</v>
      </c>
    </row>
    <row r="17" spans="2:8" x14ac:dyDescent="0.35">
      <c r="B17" s="3" t="s">
        <v>124</v>
      </c>
      <c r="C17" s="3" t="s">
        <v>8</v>
      </c>
      <c r="D17" s="3">
        <v>34</v>
      </c>
      <c r="E17" s="3" t="s">
        <v>13</v>
      </c>
      <c r="F17" s="4">
        <v>44642</v>
      </c>
      <c r="G17" s="3" t="s">
        <v>12</v>
      </c>
      <c r="H17" s="5">
        <v>112650</v>
      </c>
    </row>
    <row r="18" spans="2:8" x14ac:dyDescent="0.35">
      <c r="B18" s="3" t="s">
        <v>125</v>
      </c>
      <c r="C18" s="3" t="s">
        <v>15</v>
      </c>
      <c r="D18" s="3">
        <v>34</v>
      </c>
      <c r="E18" s="3" t="s">
        <v>18</v>
      </c>
      <c r="F18" s="4">
        <v>44660</v>
      </c>
      <c r="G18" s="3" t="s">
        <v>9</v>
      </c>
      <c r="H18" s="5">
        <v>49630</v>
      </c>
    </row>
    <row r="19" spans="2:8" x14ac:dyDescent="0.35">
      <c r="B19" s="3" t="s">
        <v>126</v>
      </c>
      <c r="C19" s="3" t="s">
        <v>8</v>
      </c>
      <c r="D19" s="3">
        <v>36</v>
      </c>
      <c r="E19" s="3" t="s">
        <v>13</v>
      </c>
      <c r="F19" s="4">
        <v>43958</v>
      </c>
      <c r="G19" s="3" t="s">
        <v>23</v>
      </c>
      <c r="H19" s="5">
        <v>118840</v>
      </c>
    </row>
    <row r="20" spans="2:8" x14ac:dyDescent="0.35">
      <c r="B20" s="3" t="s">
        <v>127</v>
      </c>
      <c r="C20" s="3" t="s">
        <v>8</v>
      </c>
      <c r="D20" s="3">
        <v>30</v>
      </c>
      <c r="E20" s="3" t="s">
        <v>13</v>
      </c>
      <c r="F20" s="4">
        <v>44789</v>
      </c>
      <c r="G20" s="3" t="s">
        <v>23</v>
      </c>
      <c r="H20" s="5">
        <v>69710</v>
      </c>
    </row>
    <row r="21" spans="2:8" x14ac:dyDescent="0.35">
      <c r="B21" s="3" t="s">
        <v>128</v>
      </c>
      <c r="C21" s="3" t="s">
        <v>8</v>
      </c>
      <c r="D21" s="3">
        <v>20</v>
      </c>
      <c r="E21" s="3" t="s">
        <v>13</v>
      </c>
      <c r="F21" s="4">
        <v>44683</v>
      </c>
      <c r="G21" s="3" t="s">
        <v>12</v>
      </c>
      <c r="H21" s="5">
        <v>79570</v>
      </c>
    </row>
    <row r="22" spans="2:8" x14ac:dyDescent="0.35">
      <c r="B22" s="3" t="s">
        <v>129</v>
      </c>
      <c r="C22" s="3" t="s">
        <v>15</v>
      </c>
      <c r="D22" s="3">
        <v>22</v>
      </c>
      <c r="E22" s="3" t="s">
        <v>10</v>
      </c>
      <c r="F22" s="4">
        <v>44388</v>
      </c>
      <c r="G22" s="3" t="s">
        <v>12</v>
      </c>
      <c r="H22" s="5">
        <v>76900</v>
      </c>
    </row>
    <row r="23" spans="2:8" x14ac:dyDescent="0.35">
      <c r="B23" s="3" t="s">
        <v>130</v>
      </c>
      <c r="C23" s="3" t="s">
        <v>8</v>
      </c>
      <c r="D23" s="3">
        <v>27</v>
      </c>
      <c r="E23" s="3" t="s">
        <v>13</v>
      </c>
      <c r="F23" s="4">
        <v>44073</v>
      </c>
      <c r="G23" s="3" t="s">
        <v>9</v>
      </c>
      <c r="H23" s="5">
        <v>54970</v>
      </c>
    </row>
    <row r="24" spans="2:8" x14ac:dyDescent="0.35">
      <c r="B24" s="3" t="s">
        <v>131</v>
      </c>
      <c r="C24" s="3" t="s">
        <v>8</v>
      </c>
      <c r="D24" s="3">
        <v>37</v>
      </c>
      <c r="E24" s="3" t="s">
        <v>18</v>
      </c>
      <c r="F24" s="4">
        <v>44277</v>
      </c>
      <c r="G24" s="3" t="s">
        <v>23</v>
      </c>
      <c r="H24" s="5">
        <v>88050</v>
      </c>
    </row>
    <row r="25" spans="2:8" x14ac:dyDescent="0.35">
      <c r="B25" s="3" t="s">
        <v>132</v>
      </c>
      <c r="C25" s="3" t="s">
        <v>8</v>
      </c>
      <c r="D25" s="3">
        <v>43</v>
      </c>
      <c r="E25" s="3" t="s">
        <v>13</v>
      </c>
      <c r="F25" s="4">
        <v>44558</v>
      </c>
      <c r="G25" s="3" t="s">
        <v>9</v>
      </c>
      <c r="H25" s="5">
        <v>36040</v>
      </c>
    </row>
    <row r="26" spans="2:8" x14ac:dyDescent="0.35">
      <c r="B26" s="3" t="s">
        <v>133</v>
      </c>
      <c r="C26" s="3" t="s">
        <v>15</v>
      </c>
      <c r="D26" s="3">
        <v>42</v>
      </c>
      <c r="E26" s="3" t="s">
        <v>43</v>
      </c>
      <c r="F26" s="4">
        <v>44718</v>
      </c>
      <c r="G26" s="3" t="s">
        <v>12</v>
      </c>
      <c r="H26" s="5">
        <v>75000</v>
      </c>
    </row>
    <row r="27" spans="2:8" x14ac:dyDescent="0.35">
      <c r="B27" s="3" t="s">
        <v>134</v>
      </c>
      <c r="C27" s="3" t="s">
        <v>8</v>
      </c>
      <c r="D27" s="3">
        <v>35</v>
      </c>
      <c r="E27" s="3" t="s">
        <v>13</v>
      </c>
      <c r="F27" s="4">
        <v>44666</v>
      </c>
      <c r="G27" s="3" t="s">
        <v>12</v>
      </c>
      <c r="H27" s="5">
        <v>40400</v>
      </c>
    </row>
    <row r="28" spans="2:8" x14ac:dyDescent="0.35">
      <c r="B28" s="3" t="s">
        <v>135</v>
      </c>
      <c r="C28" s="3" t="s">
        <v>8</v>
      </c>
      <c r="D28" s="3">
        <v>24</v>
      </c>
      <c r="E28" s="3" t="s">
        <v>13</v>
      </c>
      <c r="F28" s="4">
        <v>44625</v>
      </c>
      <c r="G28" s="3" t="s">
        <v>23</v>
      </c>
      <c r="H28" s="5">
        <v>100420</v>
      </c>
    </row>
    <row r="29" spans="2:8" x14ac:dyDescent="0.35">
      <c r="B29" s="3" t="s">
        <v>136</v>
      </c>
      <c r="C29" s="3" t="s">
        <v>15</v>
      </c>
      <c r="D29" s="3">
        <v>31</v>
      </c>
      <c r="E29" s="3" t="s">
        <v>13</v>
      </c>
      <c r="F29" s="4">
        <v>44604</v>
      </c>
      <c r="G29" s="3" t="s">
        <v>23</v>
      </c>
      <c r="H29" s="5">
        <v>58100</v>
      </c>
    </row>
    <row r="30" spans="2:8" x14ac:dyDescent="0.35">
      <c r="B30" s="3" t="s">
        <v>137</v>
      </c>
      <c r="C30" s="3" t="s">
        <v>15</v>
      </c>
      <c r="D30" s="3">
        <v>44</v>
      </c>
      <c r="E30" s="3" t="s">
        <v>13</v>
      </c>
      <c r="F30" s="4">
        <v>44985</v>
      </c>
      <c r="G30" s="3" t="s">
        <v>23</v>
      </c>
      <c r="H30" s="5">
        <v>114870</v>
      </c>
    </row>
    <row r="31" spans="2:8" x14ac:dyDescent="0.35">
      <c r="B31" s="3" t="s">
        <v>138</v>
      </c>
      <c r="C31" s="3" t="s">
        <v>15</v>
      </c>
      <c r="D31" s="3">
        <v>32</v>
      </c>
      <c r="E31" s="3" t="s">
        <v>13</v>
      </c>
      <c r="F31" s="4">
        <v>44549</v>
      </c>
      <c r="G31" s="3" t="s">
        <v>12</v>
      </c>
      <c r="H31" s="5">
        <v>41570</v>
      </c>
    </row>
    <row r="32" spans="2:8" x14ac:dyDescent="0.35">
      <c r="B32" s="3" t="s">
        <v>139</v>
      </c>
      <c r="C32" s="3" t="s">
        <v>15</v>
      </c>
      <c r="D32" s="3">
        <v>30</v>
      </c>
      <c r="E32" s="3" t="s">
        <v>13</v>
      </c>
      <c r="F32" s="4">
        <v>44800</v>
      </c>
      <c r="G32" s="3" t="s">
        <v>12</v>
      </c>
      <c r="H32" s="5">
        <v>112570</v>
      </c>
    </row>
    <row r="33" spans="2:8" x14ac:dyDescent="0.35">
      <c r="B33" s="3" t="s">
        <v>140</v>
      </c>
      <c r="C33" s="3" t="s">
        <v>8</v>
      </c>
      <c r="D33" s="3">
        <v>26</v>
      </c>
      <c r="E33" s="3" t="s">
        <v>13</v>
      </c>
      <c r="F33" s="4">
        <v>44164</v>
      </c>
      <c r="G33" s="3" t="s">
        <v>12</v>
      </c>
      <c r="H33" s="5">
        <v>47360</v>
      </c>
    </row>
    <row r="34" spans="2:8" x14ac:dyDescent="0.35">
      <c r="B34" s="3" t="s">
        <v>141</v>
      </c>
      <c r="C34" s="3" t="s">
        <v>15</v>
      </c>
      <c r="D34" s="3">
        <v>21</v>
      </c>
      <c r="E34" s="3" t="s">
        <v>13</v>
      </c>
      <c r="F34" s="4">
        <v>44256</v>
      </c>
      <c r="G34" s="3" t="s">
        <v>17</v>
      </c>
      <c r="H34" s="5">
        <v>65920</v>
      </c>
    </row>
    <row r="35" spans="2:8" x14ac:dyDescent="0.35">
      <c r="B35" s="3" t="s">
        <v>142</v>
      </c>
      <c r="C35" s="3" t="s">
        <v>15</v>
      </c>
      <c r="D35" s="3">
        <v>28</v>
      </c>
      <c r="E35" s="3" t="s">
        <v>13</v>
      </c>
      <c r="F35" s="4">
        <v>44571</v>
      </c>
      <c r="G35" s="3" t="s">
        <v>12</v>
      </c>
      <c r="H35" s="5">
        <v>99970</v>
      </c>
    </row>
    <row r="36" spans="2:8" x14ac:dyDescent="0.35">
      <c r="B36" s="3" t="s">
        <v>143</v>
      </c>
      <c r="C36" s="3" t="s">
        <v>15</v>
      </c>
      <c r="D36" s="3">
        <v>25</v>
      </c>
      <c r="E36" s="3" t="s">
        <v>10</v>
      </c>
      <c r="F36" s="4">
        <v>44633</v>
      </c>
      <c r="G36" s="3" t="s">
        <v>23</v>
      </c>
      <c r="H36" s="5">
        <v>80700</v>
      </c>
    </row>
    <row r="37" spans="2:8" x14ac:dyDescent="0.35">
      <c r="B37" s="3" t="s">
        <v>144</v>
      </c>
      <c r="C37" s="3" t="s">
        <v>8</v>
      </c>
      <c r="D37" s="3">
        <v>24</v>
      </c>
      <c r="E37" s="3" t="s">
        <v>18</v>
      </c>
      <c r="F37" s="4">
        <v>44375</v>
      </c>
      <c r="G37" s="3" t="s">
        <v>17</v>
      </c>
      <c r="H37" s="5">
        <v>52610</v>
      </c>
    </row>
    <row r="38" spans="2:8" x14ac:dyDescent="0.35">
      <c r="B38" s="3" t="s">
        <v>145</v>
      </c>
      <c r="C38" s="3" t="s">
        <v>8</v>
      </c>
      <c r="D38" s="3">
        <v>29</v>
      </c>
      <c r="E38" s="3" t="s">
        <v>18</v>
      </c>
      <c r="F38" s="4">
        <v>44119</v>
      </c>
      <c r="G38" s="3" t="s">
        <v>23</v>
      </c>
      <c r="H38" s="5">
        <v>112110</v>
      </c>
    </row>
    <row r="39" spans="2:8" x14ac:dyDescent="0.35">
      <c r="B39" s="3" t="s">
        <v>146</v>
      </c>
      <c r="C39" s="3" t="s">
        <v>15</v>
      </c>
      <c r="D39" s="3">
        <v>27</v>
      </c>
      <c r="E39" s="3" t="s">
        <v>13</v>
      </c>
      <c r="F39" s="4">
        <v>44061</v>
      </c>
      <c r="G39" s="3" t="s">
        <v>26</v>
      </c>
      <c r="H39" s="5">
        <v>119110</v>
      </c>
    </row>
    <row r="40" spans="2:8" x14ac:dyDescent="0.35">
      <c r="B40" s="3" t="s">
        <v>147</v>
      </c>
      <c r="C40" s="3" t="s">
        <v>8</v>
      </c>
      <c r="D40" s="3">
        <v>22</v>
      </c>
      <c r="E40" s="3" t="s">
        <v>10</v>
      </c>
      <c r="F40" s="4">
        <v>44384</v>
      </c>
      <c r="G40" s="3" t="s">
        <v>9</v>
      </c>
      <c r="H40" s="5">
        <v>112780</v>
      </c>
    </row>
    <row r="41" spans="2:8" x14ac:dyDescent="0.35">
      <c r="B41" s="3" t="s">
        <v>148</v>
      </c>
      <c r="C41" s="3" t="s">
        <v>15</v>
      </c>
      <c r="D41" s="3">
        <v>36</v>
      </c>
      <c r="E41" s="3" t="s">
        <v>13</v>
      </c>
      <c r="F41" s="4">
        <v>44023</v>
      </c>
      <c r="G41" s="3" t="s">
        <v>12</v>
      </c>
      <c r="H41" s="5">
        <v>114890</v>
      </c>
    </row>
    <row r="42" spans="2:8" x14ac:dyDescent="0.35">
      <c r="B42" s="3" t="s">
        <v>149</v>
      </c>
      <c r="C42" s="3" t="s">
        <v>8</v>
      </c>
      <c r="D42" s="3">
        <v>27</v>
      </c>
      <c r="E42" s="3" t="s">
        <v>13</v>
      </c>
      <c r="F42" s="4">
        <v>44506</v>
      </c>
      <c r="G42" s="3" t="s">
        <v>17</v>
      </c>
      <c r="H42" s="5">
        <v>48980</v>
      </c>
    </row>
    <row r="43" spans="2:8" x14ac:dyDescent="0.35">
      <c r="B43" s="3" t="s">
        <v>150</v>
      </c>
      <c r="C43" s="3" t="s">
        <v>8</v>
      </c>
      <c r="D43" s="3">
        <v>21</v>
      </c>
      <c r="E43" s="3" t="s">
        <v>13</v>
      </c>
      <c r="F43" s="4">
        <v>44180</v>
      </c>
      <c r="G43" s="3" t="s">
        <v>26</v>
      </c>
      <c r="H43" s="5">
        <v>75880</v>
      </c>
    </row>
    <row r="44" spans="2:8" x14ac:dyDescent="0.35">
      <c r="B44" s="3" t="s">
        <v>151</v>
      </c>
      <c r="C44" s="3" t="s">
        <v>15</v>
      </c>
      <c r="D44" s="3">
        <v>28</v>
      </c>
      <c r="E44" s="3" t="s">
        <v>13</v>
      </c>
      <c r="F44" s="4">
        <v>44296</v>
      </c>
      <c r="G44" s="3" t="s">
        <v>9</v>
      </c>
      <c r="H44" s="5">
        <v>53240</v>
      </c>
    </row>
    <row r="45" spans="2:8" x14ac:dyDescent="0.35">
      <c r="B45" s="3" t="s">
        <v>152</v>
      </c>
      <c r="C45" s="3" t="s">
        <v>15</v>
      </c>
      <c r="D45" s="3">
        <v>34</v>
      </c>
      <c r="E45" s="3" t="s">
        <v>13</v>
      </c>
      <c r="F45" s="4">
        <v>44397</v>
      </c>
      <c r="G45" s="3" t="s">
        <v>17</v>
      </c>
      <c r="H45" s="5">
        <v>85000</v>
      </c>
    </row>
    <row r="46" spans="2:8" x14ac:dyDescent="0.35">
      <c r="B46" s="3" t="s">
        <v>153</v>
      </c>
      <c r="C46" s="3" t="s">
        <v>15</v>
      </c>
      <c r="D46" s="3">
        <v>21</v>
      </c>
      <c r="E46" s="3" t="s">
        <v>13</v>
      </c>
      <c r="F46" s="4">
        <v>44619</v>
      </c>
      <c r="G46" s="3" t="s">
        <v>23</v>
      </c>
      <c r="H46" s="5">
        <v>33920</v>
      </c>
    </row>
    <row r="47" spans="2:8" x14ac:dyDescent="0.35">
      <c r="B47" s="3" t="s">
        <v>154</v>
      </c>
      <c r="C47" s="3" t="s">
        <v>15</v>
      </c>
      <c r="D47" s="3">
        <v>33</v>
      </c>
      <c r="E47" s="3" t="s">
        <v>13</v>
      </c>
      <c r="F47" s="4">
        <v>44253</v>
      </c>
      <c r="G47" s="3" t="s">
        <v>23</v>
      </c>
      <c r="H47" s="5">
        <v>75280</v>
      </c>
    </row>
    <row r="48" spans="2:8" x14ac:dyDescent="0.35">
      <c r="B48" s="3" t="s">
        <v>155</v>
      </c>
      <c r="C48" s="3" t="s">
        <v>15</v>
      </c>
      <c r="D48" s="3">
        <v>34</v>
      </c>
      <c r="E48" s="3" t="s">
        <v>13</v>
      </c>
      <c r="F48" s="4">
        <v>44594</v>
      </c>
      <c r="G48" s="3" t="s">
        <v>17</v>
      </c>
      <c r="H48" s="5">
        <v>58940</v>
      </c>
    </row>
    <row r="49" spans="2:8" x14ac:dyDescent="0.35">
      <c r="B49" s="3" t="s">
        <v>156</v>
      </c>
      <c r="C49" s="3" t="s">
        <v>15</v>
      </c>
      <c r="D49" s="3">
        <v>28</v>
      </c>
      <c r="E49" s="3" t="s">
        <v>13</v>
      </c>
      <c r="F49" s="4">
        <v>44425</v>
      </c>
      <c r="G49" s="3" t="s">
        <v>12</v>
      </c>
      <c r="H49" s="5">
        <v>104770</v>
      </c>
    </row>
    <row r="50" spans="2:8" x14ac:dyDescent="0.35">
      <c r="B50" s="3" t="s">
        <v>157</v>
      </c>
      <c r="C50" s="3" t="s">
        <v>8</v>
      </c>
      <c r="D50" s="3">
        <v>21</v>
      </c>
      <c r="E50" s="3" t="s">
        <v>13</v>
      </c>
      <c r="F50" s="4">
        <v>44701</v>
      </c>
      <c r="G50" s="3" t="s">
        <v>12</v>
      </c>
      <c r="H50" s="5">
        <v>57090</v>
      </c>
    </row>
    <row r="51" spans="2:8" x14ac:dyDescent="0.35">
      <c r="B51" s="3" t="s">
        <v>158</v>
      </c>
      <c r="C51" s="3" t="s">
        <v>8</v>
      </c>
      <c r="D51" s="3">
        <v>27</v>
      </c>
      <c r="E51" s="3" t="s">
        <v>10</v>
      </c>
      <c r="F51" s="4">
        <v>44174</v>
      </c>
      <c r="G51" s="3" t="s">
        <v>17</v>
      </c>
      <c r="H51" s="5">
        <v>91650</v>
      </c>
    </row>
    <row r="52" spans="2:8" x14ac:dyDescent="0.35">
      <c r="B52" s="3" t="s">
        <v>159</v>
      </c>
      <c r="C52" s="3" t="s">
        <v>8</v>
      </c>
      <c r="D52" s="3">
        <v>42</v>
      </c>
      <c r="E52" s="3" t="s">
        <v>18</v>
      </c>
      <c r="F52" s="4">
        <v>44670</v>
      </c>
      <c r="G52" s="3" t="s">
        <v>17</v>
      </c>
      <c r="H52" s="5">
        <v>70270</v>
      </c>
    </row>
    <row r="53" spans="2:8" x14ac:dyDescent="0.35">
      <c r="B53" s="3" t="s">
        <v>160</v>
      </c>
      <c r="C53" s="3" t="s">
        <v>15</v>
      </c>
      <c r="D53" s="3">
        <v>28</v>
      </c>
      <c r="E53" s="3" t="s">
        <v>13</v>
      </c>
      <c r="F53" s="4">
        <v>44124</v>
      </c>
      <c r="G53" s="3" t="s">
        <v>17</v>
      </c>
      <c r="H53" s="5">
        <v>75970</v>
      </c>
    </row>
    <row r="54" spans="2:8" x14ac:dyDescent="0.35">
      <c r="B54" s="3" t="s">
        <v>161</v>
      </c>
      <c r="D54" s="3">
        <v>27</v>
      </c>
      <c r="E54" s="3" t="s">
        <v>10</v>
      </c>
      <c r="F54" s="4">
        <v>44212</v>
      </c>
      <c r="G54" s="3" t="s">
        <v>23</v>
      </c>
      <c r="H54" s="5">
        <v>90700</v>
      </c>
    </row>
    <row r="55" spans="2:8" x14ac:dyDescent="0.35">
      <c r="B55" s="3" t="s">
        <v>162</v>
      </c>
      <c r="C55" s="3" t="s">
        <v>8</v>
      </c>
      <c r="D55" s="3">
        <v>30</v>
      </c>
      <c r="E55" s="3" t="s">
        <v>13</v>
      </c>
      <c r="F55" s="4">
        <v>44607</v>
      </c>
      <c r="G55" s="3" t="s">
        <v>12</v>
      </c>
      <c r="H55" s="5">
        <v>60570</v>
      </c>
    </row>
    <row r="56" spans="2:8" x14ac:dyDescent="0.35">
      <c r="B56" s="3" t="s">
        <v>163</v>
      </c>
      <c r="C56" s="3" t="s">
        <v>8</v>
      </c>
      <c r="D56" s="3">
        <v>33</v>
      </c>
      <c r="E56" s="3" t="s">
        <v>13</v>
      </c>
      <c r="F56" s="4">
        <v>44103</v>
      </c>
      <c r="G56" s="3" t="s">
        <v>12</v>
      </c>
      <c r="H56" s="5">
        <v>115920</v>
      </c>
    </row>
    <row r="57" spans="2:8" x14ac:dyDescent="0.35">
      <c r="B57" s="3" t="s">
        <v>164</v>
      </c>
      <c r="C57" s="3" t="s">
        <v>15</v>
      </c>
      <c r="D57" s="3">
        <v>33</v>
      </c>
      <c r="E57" s="3" t="s">
        <v>13</v>
      </c>
      <c r="F57" s="4">
        <v>44006</v>
      </c>
      <c r="G57" s="3" t="s">
        <v>17</v>
      </c>
      <c r="H57" s="5">
        <v>65360</v>
      </c>
    </row>
    <row r="58" spans="2:8" x14ac:dyDescent="0.35">
      <c r="B58" s="3" t="s">
        <v>165</v>
      </c>
      <c r="D58" s="3">
        <v>30</v>
      </c>
      <c r="E58" s="3" t="s">
        <v>13</v>
      </c>
      <c r="F58" s="4">
        <v>44535</v>
      </c>
      <c r="G58" s="3" t="s">
        <v>17</v>
      </c>
      <c r="H58" s="5">
        <v>64000</v>
      </c>
    </row>
    <row r="59" spans="2:8" x14ac:dyDescent="0.35">
      <c r="B59" s="3" t="s">
        <v>166</v>
      </c>
      <c r="C59" s="3" t="s">
        <v>15</v>
      </c>
      <c r="D59" s="3">
        <v>34</v>
      </c>
      <c r="E59" s="3" t="s">
        <v>13</v>
      </c>
      <c r="F59" s="4">
        <v>44383</v>
      </c>
      <c r="G59" s="3" t="s">
        <v>17</v>
      </c>
      <c r="H59" s="5">
        <v>92450</v>
      </c>
    </row>
    <row r="60" spans="2:8" x14ac:dyDescent="0.35">
      <c r="B60" s="3" t="s">
        <v>167</v>
      </c>
      <c r="C60" s="3" t="s">
        <v>8</v>
      </c>
      <c r="D60" s="3">
        <v>31</v>
      </c>
      <c r="E60" s="3" t="s">
        <v>13</v>
      </c>
      <c r="F60" s="4">
        <v>44450</v>
      </c>
      <c r="G60" s="3" t="s">
        <v>23</v>
      </c>
      <c r="H60" s="5">
        <v>48950</v>
      </c>
    </row>
    <row r="61" spans="2:8" x14ac:dyDescent="0.35">
      <c r="B61" s="3" t="s">
        <v>168</v>
      </c>
      <c r="C61" s="3" t="s">
        <v>15</v>
      </c>
      <c r="D61" s="3">
        <v>27</v>
      </c>
      <c r="E61" s="3" t="s">
        <v>13</v>
      </c>
      <c r="F61" s="4">
        <v>44625</v>
      </c>
      <c r="G61" s="3" t="s">
        <v>23</v>
      </c>
      <c r="H61" s="5">
        <v>83750</v>
      </c>
    </row>
    <row r="62" spans="2:8" x14ac:dyDescent="0.35">
      <c r="B62" s="3" t="s">
        <v>169</v>
      </c>
      <c r="C62" s="3" t="s">
        <v>15</v>
      </c>
      <c r="D62" s="3">
        <v>40</v>
      </c>
      <c r="E62" s="3" t="s">
        <v>13</v>
      </c>
      <c r="F62" s="4">
        <v>44276</v>
      </c>
      <c r="G62" s="3" t="s">
        <v>23</v>
      </c>
      <c r="H62" s="5">
        <v>87620</v>
      </c>
    </row>
    <row r="63" spans="2:8" x14ac:dyDescent="0.35">
      <c r="B63" s="3" t="s">
        <v>170</v>
      </c>
      <c r="C63" s="3" t="s">
        <v>15</v>
      </c>
      <c r="D63" s="3">
        <v>20</v>
      </c>
      <c r="E63" s="3" t="s">
        <v>18</v>
      </c>
      <c r="F63" s="4">
        <v>44476</v>
      </c>
      <c r="G63" s="3" t="s">
        <v>9</v>
      </c>
      <c r="H63" s="5">
        <v>68900</v>
      </c>
    </row>
    <row r="64" spans="2:8" x14ac:dyDescent="0.35">
      <c r="B64" s="3" t="s">
        <v>171</v>
      </c>
      <c r="C64" s="3" t="s">
        <v>8</v>
      </c>
      <c r="D64" s="3">
        <v>32</v>
      </c>
      <c r="E64" s="3" t="s">
        <v>13</v>
      </c>
      <c r="F64" s="4">
        <v>44403</v>
      </c>
      <c r="G64" s="3" t="s">
        <v>9</v>
      </c>
      <c r="H64" s="5">
        <v>53540</v>
      </c>
    </row>
    <row r="65" spans="2:8" x14ac:dyDescent="0.35">
      <c r="B65" s="3" t="s">
        <v>172</v>
      </c>
      <c r="C65" s="3" t="s">
        <v>8</v>
      </c>
      <c r="D65" s="3">
        <v>28</v>
      </c>
      <c r="E65" s="3" t="s">
        <v>49</v>
      </c>
      <c r="F65" s="4">
        <v>44758</v>
      </c>
      <c r="G65" s="3" t="s">
        <v>9</v>
      </c>
      <c r="H65" s="5">
        <v>43510</v>
      </c>
    </row>
    <row r="66" spans="2:8" x14ac:dyDescent="0.35">
      <c r="B66" s="3" t="s">
        <v>173</v>
      </c>
      <c r="C66" s="3" t="s">
        <v>15</v>
      </c>
      <c r="D66" s="3">
        <v>38</v>
      </c>
      <c r="E66" s="3" t="s">
        <v>43</v>
      </c>
      <c r="F66" s="4">
        <v>44316</v>
      </c>
      <c r="G66" s="3" t="s">
        <v>9</v>
      </c>
      <c r="H66" s="5">
        <v>109160</v>
      </c>
    </row>
    <row r="67" spans="2:8" x14ac:dyDescent="0.35">
      <c r="B67" s="3" t="s">
        <v>174</v>
      </c>
      <c r="C67" s="3" t="s">
        <v>8</v>
      </c>
      <c r="D67" s="3">
        <v>40</v>
      </c>
      <c r="E67" s="3" t="s">
        <v>13</v>
      </c>
      <c r="F67" s="4">
        <v>44204</v>
      </c>
      <c r="G67" s="3" t="s">
        <v>12</v>
      </c>
      <c r="H67" s="5">
        <v>99750</v>
      </c>
    </row>
    <row r="68" spans="2:8" x14ac:dyDescent="0.35">
      <c r="B68" s="3" t="s">
        <v>175</v>
      </c>
      <c r="C68" s="3" t="s">
        <v>15</v>
      </c>
      <c r="D68" s="3">
        <v>31</v>
      </c>
      <c r="E68" s="3" t="s">
        <v>13</v>
      </c>
      <c r="F68" s="4">
        <v>44084</v>
      </c>
      <c r="G68" s="3" t="s">
        <v>23</v>
      </c>
      <c r="H68" s="5">
        <v>41980</v>
      </c>
    </row>
    <row r="69" spans="2:8" x14ac:dyDescent="0.35">
      <c r="B69" s="3" t="s">
        <v>176</v>
      </c>
      <c r="C69" s="3" t="s">
        <v>8</v>
      </c>
      <c r="D69" s="3">
        <v>36</v>
      </c>
      <c r="E69" s="3" t="s">
        <v>13</v>
      </c>
      <c r="F69" s="4">
        <v>44272</v>
      </c>
      <c r="G69" s="3" t="s">
        <v>17</v>
      </c>
      <c r="H69" s="5">
        <v>71380</v>
      </c>
    </row>
    <row r="70" spans="2:8" x14ac:dyDescent="0.35">
      <c r="B70" s="3" t="s">
        <v>177</v>
      </c>
      <c r="C70" s="3" t="s">
        <v>8</v>
      </c>
      <c r="D70" s="3">
        <v>27</v>
      </c>
      <c r="E70" s="3" t="s">
        <v>49</v>
      </c>
      <c r="F70" s="4">
        <v>44547</v>
      </c>
      <c r="G70" s="3" t="s">
        <v>12</v>
      </c>
      <c r="H70" s="5">
        <v>113280</v>
      </c>
    </row>
    <row r="71" spans="2:8" x14ac:dyDescent="0.35">
      <c r="B71" s="3" t="s">
        <v>178</v>
      </c>
      <c r="C71" s="3" t="s">
        <v>15</v>
      </c>
      <c r="D71" s="3">
        <v>33</v>
      </c>
      <c r="E71" s="3" t="s">
        <v>13</v>
      </c>
      <c r="F71" s="4">
        <v>44747</v>
      </c>
      <c r="G71" s="3" t="s">
        <v>17</v>
      </c>
      <c r="H71" s="5">
        <v>86570</v>
      </c>
    </row>
    <row r="72" spans="2:8" x14ac:dyDescent="0.35">
      <c r="B72" s="3" t="s">
        <v>179</v>
      </c>
      <c r="C72" s="3" t="s">
        <v>8</v>
      </c>
      <c r="D72" s="3">
        <v>26</v>
      </c>
      <c r="E72" s="3" t="s">
        <v>13</v>
      </c>
      <c r="F72" s="4">
        <v>44350</v>
      </c>
      <c r="G72" s="3" t="s">
        <v>12</v>
      </c>
      <c r="H72" s="5">
        <v>53540</v>
      </c>
    </row>
    <row r="73" spans="2:8" x14ac:dyDescent="0.35">
      <c r="B73" s="3" t="s">
        <v>180</v>
      </c>
      <c r="C73" s="3" t="s">
        <v>8</v>
      </c>
      <c r="D73" s="3">
        <v>37</v>
      </c>
      <c r="E73" s="3" t="s">
        <v>13</v>
      </c>
      <c r="F73" s="4">
        <v>44640</v>
      </c>
      <c r="G73" s="3" t="s">
        <v>23</v>
      </c>
      <c r="H73" s="5">
        <v>69070</v>
      </c>
    </row>
    <row r="74" spans="2:8" x14ac:dyDescent="0.35">
      <c r="B74" s="3" t="s">
        <v>181</v>
      </c>
      <c r="C74" s="3" t="s">
        <v>15</v>
      </c>
      <c r="D74" s="3">
        <v>30</v>
      </c>
      <c r="E74" s="3" t="s">
        <v>18</v>
      </c>
      <c r="F74" s="4">
        <v>44328</v>
      </c>
      <c r="G74" s="3" t="s">
        <v>17</v>
      </c>
      <c r="H74" s="5">
        <v>67910</v>
      </c>
    </row>
    <row r="75" spans="2:8" x14ac:dyDescent="0.35">
      <c r="B75" s="3" t="s">
        <v>182</v>
      </c>
      <c r="C75" s="3" t="s">
        <v>8</v>
      </c>
      <c r="D75" s="3">
        <v>30</v>
      </c>
      <c r="E75" s="3" t="s">
        <v>13</v>
      </c>
      <c r="F75" s="4">
        <v>44214</v>
      </c>
      <c r="G75" s="3" t="s">
        <v>23</v>
      </c>
      <c r="H75" s="5">
        <v>69120</v>
      </c>
    </row>
    <row r="76" spans="2:8" x14ac:dyDescent="0.35">
      <c r="B76" s="3" t="s">
        <v>183</v>
      </c>
      <c r="C76" s="3" t="s">
        <v>15</v>
      </c>
      <c r="D76" s="3">
        <v>34</v>
      </c>
      <c r="E76" s="3" t="s">
        <v>13</v>
      </c>
      <c r="F76" s="4">
        <v>44550</v>
      </c>
      <c r="G76" s="3" t="s">
        <v>17</v>
      </c>
      <c r="H76" s="5">
        <v>60130</v>
      </c>
    </row>
    <row r="77" spans="2:8" x14ac:dyDescent="0.35">
      <c r="B77" s="3" t="s">
        <v>184</v>
      </c>
      <c r="C77" s="3" t="s">
        <v>8</v>
      </c>
      <c r="D77" s="3">
        <v>23</v>
      </c>
      <c r="E77" s="3" t="s">
        <v>13</v>
      </c>
      <c r="F77" s="4">
        <v>44378</v>
      </c>
      <c r="G77" s="3" t="s">
        <v>12</v>
      </c>
      <c r="H77" s="5">
        <v>106460</v>
      </c>
    </row>
    <row r="78" spans="2:8" x14ac:dyDescent="0.35">
      <c r="B78" s="3" t="s">
        <v>185</v>
      </c>
      <c r="C78" s="3" t="s">
        <v>15</v>
      </c>
      <c r="D78" s="3">
        <v>37</v>
      </c>
      <c r="E78" s="3" t="s">
        <v>13</v>
      </c>
      <c r="F78" s="4">
        <v>44389</v>
      </c>
      <c r="G78" s="3" t="s">
        <v>26</v>
      </c>
      <c r="H78" s="5">
        <v>118100</v>
      </c>
    </row>
    <row r="79" spans="2:8" x14ac:dyDescent="0.35">
      <c r="B79" s="3" t="s">
        <v>186</v>
      </c>
      <c r="C79" s="3" t="s">
        <v>15</v>
      </c>
      <c r="D79" s="3">
        <v>36</v>
      </c>
      <c r="E79" s="3" t="s">
        <v>13</v>
      </c>
      <c r="F79" s="4">
        <v>44468</v>
      </c>
      <c r="G79" s="3" t="s">
        <v>12</v>
      </c>
      <c r="H79" s="5">
        <v>78390</v>
      </c>
    </row>
    <row r="80" spans="2:8" x14ac:dyDescent="0.35">
      <c r="B80" s="3" t="s">
        <v>187</v>
      </c>
      <c r="C80" s="3" t="s">
        <v>15</v>
      </c>
      <c r="D80" s="3">
        <v>30</v>
      </c>
      <c r="E80" s="3" t="s">
        <v>13</v>
      </c>
      <c r="F80" s="4">
        <v>44789</v>
      </c>
      <c r="G80" s="3" t="s">
        <v>12</v>
      </c>
      <c r="H80" s="5">
        <v>114180</v>
      </c>
    </row>
    <row r="81" spans="2:8" x14ac:dyDescent="0.35">
      <c r="B81" s="3" t="s">
        <v>188</v>
      </c>
      <c r="C81" s="3" t="s">
        <v>15</v>
      </c>
      <c r="D81" s="3">
        <v>28</v>
      </c>
      <c r="E81" s="3" t="s">
        <v>13</v>
      </c>
      <c r="F81" s="4">
        <v>44590</v>
      </c>
      <c r="G81" s="3" t="s">
        <v>12</v>
      </c>
      <c r="H81" s="5">
        <v>104120</v>
      </c>
    </row>
    <row r="82" spans="2:8" x14ac:dyDescent="0.35">
      <c r="B82" s="3" t="s">
        <v>189</v>
      </c>
      <c r="C82" s="3" t="s">
        <v>8</v>
      </c>
      <c r="D82" s="3">
        <v>30</v>
      </c>
      <c r="E82" s="3" t="s">
        <v>13</v>
      </c>
      <c r="F82" s="4">
        <v>44640</v>
      </c>
      <c r="G82" s="3" t="s">
        <v>12</v>
      </c>
      <c r="H82" s="5">
        <v>67950</v>
      </c>
    </row>
    <row r="83" spans="2:8" x14ac:dyDescent="0.35">
      <c r="B83" s="3" t="s">
        <v>190</v>
      </c>
      <c r="C83" s="3" t="s">
        <v>15</v>
      </c>
      <c r="D83" s="3">
        <v>29</v>
      </c>
      <c r="E83" s="3" t="s">
        <v>13</v>
      </c>
      <c r="F83" s="4">
        <v>43962</v>
      </c>
      <c r="G83" s="3" t="s">
        <v>23</v>
      </c>
      <c r="H83" s="5">
        <v>34980</v>
      </c>
    </row>
    <row r="84" spans="2:8" x14ac:dyDescent="0.35">
      <c r="B84" s="3" t="s">
        <v>191</v>
      </c>
      <c r="C84" s="3" t="s">
        <v>15</v>
      </c>
      <c r="D84" s="3">
        <v>24</v>
      </c>
      <c r="E84" s="3" t="s">
        <v>13</v>
      </c>
      <c r="F84" s="4">
        <v>44087</v>
      </c>
      <c r="G84" s="3" t="s">
        <v>23</v>
      </c>
      <c r="H84" s="5">
        <v>62780</v>
      </c>
    </row>
    <row r="85" spans="2:8" x14ac:dyDescent="0.35">
      <c r="B85" s="3" t="s">
        <v>192</v>
      </c>
      <c r="C85" s="3" t="s">
        <v>8</v>
      </c>
      <c r="D85" s="3">
        <v>20</v>
      </c>
      <c r="E85" s="3" t="s">
        <v>13</v>
      </c>
      <c r="F85" s="4">
        <v>44397</v>
      </c>
      <c r="G85" s="3" t="s">
        <v>23</v>
      </c>
      <c r="H85" s="5">
        <v>107700</v>
      </c>
    </row>
    <row r="86" spans="2:8" x14ac:dyDescent="0.35">
      <c r="B86" s="3" t="s">
        <v>193</v>
      </c>
      <c r="C86" s="3" t="s">
        <v>8</v>
      </c>
      <c r="D86" s="3">
        <v>25</v>
      </c>
      <c r="E86" s="3" t="s">
        <v>13</v>
      </c>
      <c r="F86" s="4">
        <v>44322</v>
      </c>
      <c r="G86" s="3" t="s">
        <v>9</v>
      </c>
      <c r="H86" s="5">
        <v>65700</v>
      </c>
    </row>
    <row r="87" spans="2:8" x14ac:dyDescent="0.35">
      <c r="B87" s="3" t="s">
        <v>194</v>
      </c>
      <c r="C87" s="3" t="s">
        <v>15</v>
      </c>
      <c r="D87" s="3">
        <v>33</v>
      </c>
      <c r="E87" s="3" t="s">
        <v>49</v>
      </c>
      <c r="F87" s="4">
        <v>44313</v>
      </c>
      <c r="G87" s="3" t="s">
        <v>23</v>
      </c>
      <c r="H87" s="5">
        <v>75480</v>
      </c>
    </row>
    <row r="88" spans="2:8" x14ac:dyDescent="0.35">
      <c r="B88" s="3" t="s">
        <v>195</v>
      </c>
      <c r="C88" s="3" t="s">
        <v>8</v>
      </c>
      <c r="D88" s="3">
        <v>33</v>
      </c>
      <c r="E88" s="3" t="s">
        <v>13</v>
      </c>
      <c r="F88" s="4">
        <v>44448</v>
      </c>
      <c r="G88" s="3" t="s">
        <v>23</v>
      </c>
      <c r="H88" s="5">
        <v>53870</v>
      </c>
    </row>
    <row r="89" spans="2:8" x14ac:dyDescent="0.35">
      <c r="B89" s="3" t="s">
        <v>196</v>
      </c>
      <c r="C89" s="3" t="s">
        <v>15</v>
      </c>
      <c r="D89" s="3">
        <v>36</v>
      </c>
      <c r="E89" s="3" t="s">
        <v>13</v>
      </c>
      <c r="F89" s="4">
        <v>44433</v>
      </c>
      <c r="G89" s="3" t="s">
        <v>9</v>
      </c>
      <c r="H89" s="5">
        <v>78540</v>
      </c>
    </row>
    <row r="90" spans="2:8" x14ac:dyDescent="0.35">
      <c r="B90" s="3" t="s">
        <v>197</v>
      </c>
      <c r="C90" s="3" t="s">
        <v>8</v>
      </c>
      <c r="D90" s="3">
        <v>19</v>
      </c>
      <c r="E90" s="3" t="s">
        <v>13</v>
      </c>
      <c r="F90" s="4">
        <v>44218</v>
      </c>
      <c r="G90" s="3" t="s">
        <v>12</v>
      </c>
      <c r="H90" s="5">
        <v>58960</v>
      </c>
    </row>
    <row r="91" spans="2:8" x14ac:dyDescent="0.35">
      <c r="B91" s="3" t="s">
        <v>198</v>
      </c>
      <c r="C91" s="3" t="s">
        <v>8</v>
      </c>
      <c r="D91" s="3">
        <v>46</v>
      </c>
      <c r="E91" s="3" t="s">
        <v>13</v>
      </c>
      <c r="F91" s="4">
        <v>44697</v>
      </c>
      <c r="G91" s="3" t="s">
        <v>12</v>
      </c>
      <c r="H91" s="5">
        <v>70610</v>
      </c>
    </row>
    <row r="92" spans="2:8" x14ac:dyDescent="0.35">
      <c r="B92" s="3" t="s">
        <v>199</v>
      </c>
      <c r="C92" s="3" t="s">
        <v>8</v>
      </c>
      <c r="D92" s="3">
        <v>33</v>
      </c>
      <c r="E92" s="3" t="s">
        <v>13</v>
      </c>
      <c r="F92" s="4">
        <v>44181</v>
      </c>
      <c r="G92" s="3" t="s">
        <v>17</v>
      </c>
      <c r="H92" s="5">
        <v>59430</v>
      </c>
    </row>
    <row r="93" spans="2:8" x14ac:dyDescent="0.35">
      <c r="B93" s="3" t="s">
        <v>200</v>
      </c>
      <c r="C93" s="3" t="s">
        <v>8</v>
      </c>
      <c r="D93" s="3">
        <v>33</v>
      </c>
      <c r="E93" s="3" t="s">
        <v>10</v>
      </c>
      <c r="F93" s="4">
        <v>44640</v>
      </c>
      <c r="G93" s="3" t="s">
        <v>12</v>
      </c>
      <c r="H93" s="5">
        <v>48530</v>
      </c>
    </row>
    <row r="94" spans="2:8" x14ac:dyDescent="0.35">
      <c r="B94" s="3" t="s">
        <v>201</v>
      </c>
      <c r="C94" s="3" t="s">
        <v>15</v>
      </c>
      <c r="D94" s="3">
        <v>33</v>
      </c>
      <c r="E94" s="3" t="s">
        <v>13</v>
      </c>
      <c r="F94" s="4">
        <v>44129</v>
      </c>
      <c r="G94" s="3" t="s">
        <v>23</v>
      </c>
      <c r="H94" s="5">
        <v>96140</v>
      </c>
    </row>
    <row r="95" spans="2:8" x14ac:dyDescent="0.35">
      <c r="B95" s="3" t="s">
        <v>110</v>
      </c>
      <c r="C95" s="3" t="s">
        <v>8</v>
      </c>
      <c r="D95" s="3">
        <v>20</v>
      </c>
      <c r="E95" s="3" t="s">
        <v>13</v>
      </c>
      <c r="F95" s="4">
        <v>44122</v>
      </c>
      <c r="G95" s="3" t="s">
        <v>23</v>
      </c>
      <c r="H95" s="5">
        <v>112650</v>
      </c>
    </row>
    <row r="96" spans="2:8" x14ac:dyDescent="0.35">
      <c r="B96" s="3" t="s">
        <v>111</v>
      </c>
      <c r="C96" s="3" t="s">
        <v>15</v>
      </c>
      <c r="D96" s="3">
        <v>32</v>
      </c>
      <c r="E96" s="3" t="s">
        <v>10</v>
      </c>
      <c r="F96" s="4">
        <v>44293</v>
      </c>
      <c r="G96" s="3" t="s">
        <v>23</v>
      </c>
      <c r="H96" s="5">
        <v>43840</v>
      </c>
    </row>
    <row r="97" spans="2:8" x14ac:dyDescent="0.35">
      <c r="B97" s="3" t="s">
        <v>112</v>
      </c>
      <c r="C97" s="3" t="s">
        <v>8</v>
      </c>
      <c r="D97" s="3">
        <v>31</v>
      </c>
      <c r="E97" s="3" t="s">
        <v>13</v>
      </c>
      <c r="F97" s="4">
        <v>44663</v>
      </c>
      <c r="G97" s="3" t="s">
        <v>12</v>
      </c>
      <c r="H97" s="5">
        <v>103550</v>
      </c>
    </row>
    <row r="98" spans="2:8" x14ac:dyDescent="0.35">
      <c r="B98" s="3" t="s">
        <v>113</v>
      </c>
      <c r="C98" s="3" t="s">
        <v>15</v>
      </c>
      <c r="D98" s="3">
        <v>32</v>
      </c>
      <c r="E98" s="3" t="s">
        <v>13</v>
      </c>
      <c r="F98" s="4">
        <v>44339</v>
      </c>
      <c r="G98" s="3" t="s">
        <v>26</v>
      </c>
      <c r="H98" s="5">
        <v>45510</v>
      </c>
    </row>
    <row r="99" spans="2:8" x14ac:dyDescent="0.35">
      <c r="B99" s="3" t="s">
        <v>114</v>
      </c>
      <c r="D99" s="3">
        <v>37</v>
      </c>
      <c r="E99" s="3" t="s">
        <v>18</v>
      </c>
      <c r="F99" s="4">
        <v>44085</v>
      </c>
      <c r="G99" s="3" t="s">
        <v>17</v>
      </c>
      <c r="H99" s="5">
        <v>115440</v>
      </c>
    </row>
    <row r="100" spans="2:8" x14ac:dyDescent="0.35">
      <c r="B100" s="3" t="s">
        <v>115</v>
      </c>
      <c r="C100" s="3" t="s">
        <v>15</v>
      </c>
      <c r="D100" s="3">
        <v>38</v>
      </c>
      <c r="E100" s="3" t="s">
        <v>10</v>
      </c>
      <c r="F100" s="4">
        <v>44268</v>
      </c>
      <c r="G100" s="3" t="s">
        <v>9</v>
      </c>
      <c r="H100" s="5">
        <v>56870</v>
      </c>
    </row>
    <row r="101" spans="2:8" x14ac:dyDescent="0.35">
      <c r="B101" s="3" t="s">
        <v>116</v>
      </c>
      <c r="C101" s="3" t="s">
        <v>15</v>
      </c>
      <c r="D101" s="3">
        <v>25</v>
      </c>
      <c r="E101" s="3" t="s">
        <v>13</v>
      </c>
      <c r="F101" s="4">
        <v>44144</v>
      </c>
      <c r="G101" s="3" t="s">
        <v>9</v>
      </c>
      <c r="H101" s="5">
        <v>92700</v>
      </c>
    </row>
    <row r="102" spans="2:8" x14ac:dyDescent="0.35">
      <c r="B102" s="3" t="s">
        <v>117</v>
      </c>
      <c r="D102" s="3">
        <v>32</v>
      </c>
      <c r="E102" s="3" t="s">
        <v>13</v>
      </c>
      <c r="F102" s="4">
        <v>44713</v>
      </c>
      <c r="G102" s="3" t="s">
        <v>23</v>
      </c>
      <c r="H102" s="5">
        <v>91310</v>
      </c>
    </row>
    <row r="103" spans="2:8" x14ac:dyDescent="0.35">
      <c r="B103" s="3" t="s">
        <v>118</v>
      </c>
      <c r="C103" s="3" t="s">
        <v>8</v>
      </c>
      <c r="D103" s="3">
        <v>33</v>
      </c>
      <c r="E103" s="3" t="s">
        <v>13</v>
      </c>
      <c r="F103" s="4">
        <v>44324</v>
      </c>
      <c r="G103" s="3" t="s">
        <v>9</v>
      </c>
      <c r="H103" s="5">
        <v>74550</v>
      </c>
    </row>
    <row r="104" spans="2:8" x14ac:dyDescent="0.35">
      <c r="B104" s="3" t="s">
        <v>119</v>
      </c>
      <c r="C104" s="3" t="s">
        <v>8</v>
      </c>
      <c r="D104" s="3">
        <v>25</v>
      </c>
      <c r="E104" s="3" t="s">
        <v>10</v>
      </c>
      <c r="F104" s="4">
        <v>44665</v>
      </c>
      <c r="G104" s="3" t="s">
        <v>12</v>
      </c>
      <c r="H104" s="5">
        <v>109190</v>
      </c>
    </row>
    <row r="105" spans="2:8" x14ac:dyDescent="0.35">
      <c r="B105" s="3" t="s">
        <v>120</v>
      </c>
      <c r="C105" s="3" t="s">
        <v>15</v>
      </c>
      <c r="D105" s="3">
        <v>40</v>
      </c>
      <c r="E105" s="3" t="s">
        <v>13</v>
      </c>
      <c r="F105" s="4">
        <v>44320</v>
      </c>
      <c r="G105" s="3" t="s">
        <v>23</v>
      </c>
      <c r="H105" s="5">
        <v>104410</v>
      </c>
    </row>
    <row r="106" spans="2:8" x14ac:dyDescent="0.35">
      <c r="B106" s="3" t="s">
        <v>121</v>
      </c>
      <c r="C106" s="3" t="s">
        <v>8</v>
      </c>
      <c r="D106" s="3">
        <v>30</v>
      </c>
      <c r="E106" s="3" t="s">
        <v>13</v>
      </c>
      <c r="F106" s="4">
        <v>44544</v>
      </c>
      <c r="G106" s="3" t="s">
        <v>17</v>
      </c>
      <c r="H106" s="5">
        <v>96800</v>
      </c>
    </row>
    <row r="107" spans="2:8" x14ac:dyDescent="0.35">
      <c r="B107" s="3" t="s">
        <v>122</v>
      </c>
      <c r="C107" s="3" t="s">
        <v>8</v>
      </c>
      <c r="D107" s="3">
        <v>28</v>
      </c>
      <c r="E107" s="3" t="s">
        <v>10</v>
      </c>
      <c r="F107" s="4">
        <v>43980</v>
      </c>
      <c r="G107" s="3" t="s">
        <v>17</v>
      </c>
      <c r="H107" s="5">
        <v>48170</v>
      </c>
    </row>
    <row r="108" spans="2:8" x14ac:dyDescent="0.35">
      <c r="B108" s="3" t="s">
        <v>123</v>
      </c>
      <c r="C108" s="3" t="s">
        <v>8</v>
      </c>
      <c r="D108" s="3">
        <v>21</v>
      </c>
      <c r="E108" s="3" t="s">
        <v>13</v>
      </c>
      <c r="F108" s="4">
        <v>44042</v>
      </c>
      <c r="G108" s="3" t="s">
        <v>12</v>
      </c>
      <c r="H108" s="5">
        <v>37920</v>
      </c>
    </row>
    <row r="109" spans="2:8" x14ac:dyDescent="0.35">
      <c r="B109" s="3" t="s">
        <v>124</v>
      </c>
      <c r="C109" s="3" t="s">
        <v>8</v>
      </c>
      <c r="D109" s="3">
        <v>34</v>
      </c>
      <c r="E109" s="3" t="s">
        <v>13</v>
      </c>
      <c r="F109" s="4">
        <v>44642</v>
      </c>
      <c r="G109" s="3" t="s">
        <v>12</v>
      </c>
      <c r="H109" s="5">
        <v>112650</v>
      </c>
    </row>
    <row r="110" spans="2:8" x14ac:dyDescent="0.35">
      <c r="B110" s="3" t="s">
        <v>125</v>
      </c>
      <c r="C110" s="3" t="s">
        <v>15</v>
      </c>
      <c r="D110" s="3">
        <v>34</v>
      </c>
      <c r="E110" s="3" t="s">
        <v>18</v>
      </c>
      <c r="F110" s="4">
        <v>44660</v>
      </c>
      <c r="G110" s="3" t="s">
        <v>9</v>
      </c>
      <c r="H110" s="5">
        <v>49630</v>
      </c>
    </row>
    <row r="111" spans="2:8" x14ac:dyDescent="0.35">
      <c r="B111" s="3" t="s">
        <v>126</v>
      </c>
      <c r="C111" s="3" t="s">
        <v>8</v>
      </c>
      <c r="D111" s="3">
        <v>36</v>
      </c>
      <c r="E111" s="3" t="s">
        <v>13</v>
      </c>
      <c r="F111" s="4">
        <v>43958</v>
      </c>
      <c r="G111" s="3" t="s">
        <v>23</v>
      </c>
      <c r="H111" s="5">
        <v>118840</v>
      </c>
    </row>
    <row r="112" spans="2:8" x14ac:dyDescent="0.35">
      <c r="B112" s="3" t="s">
        <v>127</v>
      </c>
      <c r="C112" s="3" t="s">
        <v>8</v>
      </c>
      <c r="D112" s="3">
        <v>30</v>
      </c>
      <c r="E112" s="3" t="s">
        <v>13</v>
      </c>
      <c r="F112" s="4">
        <v>44789</v>
      </c>
      <c r="G112" s="3" t="s">
        <v>23</v>
      </c>
      <c r="H112" s="5">
        <v>69710</v>
      </c>
    </row>
    <row r="113" spans="2:8" x14ac:dyDescent="0.35">
      <c r="B113" s="3" t="s">
        <v>128</v>
      </c>
      <c r="C113" s="3" t="s">
        <v>8</v>
      </c>
      <c r="D113" s="3">
        <v>20</v>
      </c>
      <c r="E113" s="3" t="s">
        <v>13</v>
      </c>
      <c r="F113" s="4">
        <v>44683</v>
      </c>
      <c r="G113" s="3" t="s">
        <v>12</v>
      </c>
      <c r="H113" s="5">
        <v>79570</v>
      </c>
    </row>
    <row r="114" spans="2:8" x14ac:dyDescent="0.35">
      <c r="B114" s="3" t="s">
        <v>129</v>
      </c>
      <c r="C114" s="3" t="s">
        <v>15</v>
      </c>
      <c r="D114" s="3">
        <v>22</v>
      </c>
      <c r="E114" s="3" t="s">
        <v>10</v>
      </c>
      <c r="F114" s="4">
        <v>44388</v>
      </c>
      <c r="G114" s="3" t="s">
        <v>12</v>
      </c>
      <c r="H114" s="5">
        <v>76900</v>
      </c>
    </row>
    <row r="115" spans="2:8" x14ac:dyDescent="0.35">
      <c r="B115" s="3" t="s">
        <v>202</v>
      </c>
      <c r="D115" s="3">
        <f>SUBTOTAL(101,India_staff[Age])</f>
        <v>30.375</v>
      </c>
      <c r="H115" s="5">
        <f>SUBTOTAL(101,India_staff[Salary])</f>
        <v>78195.803571428565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58F0-667B-4F09-B32B-5CC192632E08}">
  <dimension ref="A3:C9"/>
  <sheetViews>
    <sheetView workbookViewId="0">
      <selection activeCell="K16" sqref="K16"/>
    </sheetView>
  </sheetViews>
  <sheetFormatPr defaultRowHeight="14.5" x14ac:dyDescent="0.35"/>
  <cols>
    <col min="1" max="1" width="13.1796875" bestFit="1" customWidth="1"/>
    <col min="2" max="2" width="13.54296875" bestFit="1" customWidth="1"/>
    <col min="3" max="3" width="15.26953125" bestFit="1" customWidth="1"/>
  </cols>
  <sheetData>
    <row r="3" spans="1:3" x14ac:dyDescent="0.35">
      <c r="A3" s="16" t="s">
        <v>217</v>
      </c>
      <c r="B3" t="s">
        <v>223</v>
      </c>
      <c r="C3" t="s">
        <v>219</v>
      </c>
    </row>
    <row r="4" spans="1:3" x14ac:dyDescent="0.35">
      <c r="A4" s="3" t="s">
        <v>43</v>
      </c>
      <c r="B4" s="10">
        <v>4</v>
      </c>
      <c r="C4" s="27">
        <v>92080</v>
      </c>
    </row>
    <row r="5" spans="1:3" x14ac:dyDescent="0.35">
      <c r="A5" s="3" t="s">
        <v>10</v>
      </c>
      <c r="B5" s="10">
        <v>20</v>
      </c>
      <c r="C5" s="27">
        <v>75933</v>
      </c>
    </row>
    <row r="6" spans="1:3" x14ac:dyDescent="0.35">
      <c r="A6" s="3" t="s">
        <v>13</v>
      </c>
      <c r="B6" s="10">
        <v>137</v>
      </c>
      <c r="C6" s="27">
        <v>76798.759124087592</v>
      </c>
    </row>
    <row r="7" spans="1:3" x14ac:dyDescent="0.35">
      <c r="A7" s="3" t="s">
        <v>18</v>
      </c>
      <c r="B7" s="10">
        <v>16</v>
      </c>
      <c r="C7" s="27">
        <v>78115</v>
      </c>
    </row>
    <row r="8" spans="1:3" x14ac:dyDescent="0.35">
      <c r="A8" s="3" t="s">
        <v>49</v>
      </c>
      <c r="B8" s="10">
        <v>6</v>
      </c>
      <c r="C8" s="27">
        <v>77423.333333333328</v>
      </c>
    </row>
    <row r="9" spans="1:3" x14ac:dyDescent="0.35">
      <c r="A9" s="3" t="s">
        <v>218</v>
      </c>
      <c r="B9" s="7">
        <v>183</v>
      </c>
      <c r="C9" s="27">
        <v>77173.715846994543</v>
      </c>
    </row>
  </sheetData>
  <conditionalFormatting pivot="1" sqref="C4:C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{3ACA70F3-CD77-4FDF-9931-7D01E93E1953}</x14:id>
        </ext>
      </extLst>
    </cfRule>
  </conditionalFormatting>
  <pageMargins left="0.7" right="0.7" top="0.75" bottom="0.75" header="0.3" footer="0.3"/>
  <pageSetup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3ACA70F3-CD77-4FDF-9931-7D01E93E19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C4:C8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C69A-7D4E-4052-90E8-41C2296F58A5}">
  <dimension ref="A3:V41"/>
  <sheetViews>
    <sheetView topLeftCell="L1" workbookViewId="0">
      <selection activeCell="T3" sqref="T3:V3"/>
    </sheetView>
  </sheetViews>
  <sheetFormatPr defaultRowHeight="14.5" x14ac:dyDescent="0.35"/>
  <cols>
    <col min="11" max="11" width="10.7265625" bestFit="1" customWidth="1"/>
    <col min="12" max="12" width="13.54296875" bestFit="1" customWidth="1"/>
    <col min="13" max="20" width="10.08984375" bestFit="1" customWidth="1"/>
    <col min="21" max="21" width="12" customWidth="1"/>
    <col min="22" max="22" width="12.7265625" customWidth="1"/>
    <col min="23" max="171" width="10.08984375" bestFit="1" customWidth="1"/>
    <col min="172" max="172" width="10.7265625" bestFit="1" customWidth="1"/>
  </cols>
  <sheetData>
    <row r="3" spans="1:22" x14ac:dyDescent="0.35">
      <c r="A3" s="17"/>
      <c r="B3" s="18"/>
      <c r="C3" s="19"/>
      <c r="K3" s="16" t="s">
        <v>241</v>
      </c>
      <c r="L3" t="s">
        <v>223</v>
      </c>
      <c r="T3" s="47" t="s">
        <v>242</v>
      </c>
      <c r="U3" s="47" t="s">
        <v>243</v>
      </c>
      <c r="V3" s="47" t="s">
        <v>244</v>
      </c>
    </row>
    <row r="4" spans="1:22" x14ac:dyDescent="0.35">
      <c r="A4" s="20"/>
      <c r="B4" s="21"/>
      <c r="C4" s="22"/>
      <c r="K4" s="3" t="s">
        <v>225</v>
      </c>
      <c r="L4" s="7"/>
      <c r="S4" cm="1">
        <f t="array" ref="S4:S39">_xlfn.SEQUENCE(36)</f>
        <v>1</v>
      </c>
      <c r="T4" s="11" cm="1">
        <f t="array" ref="T4:T39">EDATE(DATE(2020,4,1),_xlfn.ANCHORARRAY(S4)+0)</f>
        <v>43952</v>
      </c>
      <c r="U4">
        <f>COUNTIFS(Staff[Date Joined],"&gt;="&amp;'Date - Name'!T4,Staff[Date Joined],"&lt;="&amp; EOMONTH('Date - Name'!T4,0))</f>
        <v>3</v>
      </c>
      <c r="V4" s="7">
        <f>SUM($U$4:U4)</f>
        <v>3</v>
      </c>
    </row>
    <row r="5" spans="1:22" x14ac:dyDescent="0.35">
      <c r="A5" s="20"/>
      <c r="B5" s="21"/>
      <c r="C5" s="22"/>
      <c r="K5" s="26" t="s">
        <v>229</v>
      </c>
      <c r="L5" s="7">
        <v>3</v>
      </c>
      <c r="S5">
        <v>2</v>
      </c>
      <c r="T5" s="11">
        <v>43983</v>
      </c>
      <c r="U5">
        <f>COUNTIFS(Staff[Date Joined],"&gt;="&amp;'Date - Name'!T5,Staff[Date Joined],"&lt;="&amp; EOMONTH('Date - Name'!T5,0))</f>
        <v>1</v>
      </c>
      <c r="V5" s="7">
        <f>SUM($U$4:U5)</f>
        <v>4</v>
      </c>
    </row>
    <row r="6" spans="1:22" x14ac:dyDescent="0.35">
      <c r="A6" s="20"/>
      <c r="B6" s="21"/>
      <c r="C6" s="22"/>
      <c r="K6" s="26" t="s">
        <v>230</v>
      </c>
      <c r="L6" s="7">
        <v>4</v>
      </c>
      <c r="S6">
        <v>3</v>
      </c>
      <c r="T6" s="11">
        <v>44013</v>
      </c>
      <c r="U6">
        <f>COUNTIFS(Staff[Date Joined],"&gt;="&amp;'Date - Name'!T6,Staff[Date Joined],"&lt;="&amp; EOMONTH('Date - Name'!T6,0))</f>
        <v>5</v>
      </c>
      <c r="V6" s="7">
        <f>SUM($U$4:U6)</f>
        <v>9</v>
      </c>
    </row>
    <row r="7" spans="1:22" x14ac:dyDescent="0.35">
      <c r="A7" s="20"/>
      <c r="B7" s="21"/>
      <c r="C7" s="22"/>
      <c r="K7" s="26" t="s">
        <v>231</v>
      </c>
      <c r="L7" s="7">
        <v>9</v>
      </c>
      <c r="S7">
        <v>4</v>
      </c>
      <c r="T7" s="11">
        <v>44044</v>
      </c>
      <c r="U7">
        <f>COUNTIFS(Staff[Date Joined],"&gt;="&amp;'Date - Name'!T7,Staff[Date Joined],"&lt;="&amp; EOMONTH('Date - Name'!T7,0))</f>
        <v>3</v>
      </c>
      <c r="V7" s="7">
        <f>SUM($U$4:U7)</f>
        <v>12</v>
      </c>
    </row>
    <row r="8" spans="1:22" x14ac:dyDescent="0.35">
      <c r="A8" s="20"/>
      <c r="B8" s="21"/>
      <c r="C8" s="22"/>
      <c r="K8" s="26" t="s">
        <v>232</v>
      </c>
      <c r="L8" s="7">
        <v>12</v>
      </c>
      <c r="S8">
        <v>5</v>
      </c>
      <c r="T8" s="11">
        <v>44075</v>
      </c>
      <c r="U8">
        <f>COUNTIFS(Staff[Date Joined],"&gt;="&amp;'Date - Name'!T8,Staff[Date Joined],"&lt;="&amp; EOMONTH('Date - Name'!T8,0))</f>
        <v>6</v>
      </c>
      <c r="V8" s="7">
        <f>SUM($U$4:U8)</f>
        <v>18</v>
      </c>
    </row>
    <row r="9" spans="1:22" x14ac:dyDescent="0.35">
      <c r="A9" s="20"/>
      <c r="B9" s="21"/>
      <c r="C9" s="22"/>
      <c r="K9" s="26" t="s">
        <v>233</v>
      </c>
      <c r="L9" s="7">
        <v>18</v>
      </c>
      <c r="S9">
        <v>6</v>
      </c>
      <c r="T9" s="11">
        <v>44105</v>
      </c>
      <c r="U9">
        <f>COUNTIFS(Staff[Date Joined],"&gt;="&amp;'Date - Name'!T9,Staff[Date Joined],"&lt;="&amp; EOMONTH('Date - Name'!T9,0))</f>
        <v>6</v>
      </c>
      <c r="V9" s="7">
        <f>SUM($U$4:U9)</f>
        <v>24</v>
      </c>
    </row>
    <row r="10" spans="1:22" x14ac:dyDescent="0.35">
      <c r="A10" s="20"/>
      <c r="B10" s="21"/>
      <c r="C10" s="22"/>
      <c r="K10" s="26" t="s">
        <v>234</v>
      </c>
      <c r="L10" s="7">
        <v>24</v>
      </c>
      <c r="S10">
        <v>7</v>
      </c>
      <c r="T10" s="11">
        <v>44136</v>
      </c>
      <c r="U10">
        <f>COUNTIFS(Staff[Date Joined],"&gt;="&amp;'Date - Name'!T10,Staff[Date Joined],"&lt;="&amp; EOMONTH('Date - Name'!T10,0))</f>
        <v>6</v>
      </c>
      <c r="V10" s="7">
        <f>SUM($U$4:U10)</f>
        <v>30</v>
      </c>
    </row>
    <row r="11" spans="1:22" x14ac:dyDescent="0.35">
      <c r="A11" s="20"/>
      <c r="B11" s="21"/>
      <c r="C11" s="22"/>
      <c r="K11" s="26" t="s">
        <v>235</v>
      </c>
      <c r="L11" s="7">
        <v>30</v>
      </c>
      <c r="S11">
        <v>8</v>
      </c>
      <c r="T11" s="11">
        <v>44166</v>
      </c>
      <c r="U11">
        <f>COUNTIFS(Staff[Date Joined],"&gt;="&amp;'Date - Name'!T11,Staff[Date Joined],"&lt;="&amp; EOMONTH('Date - Name'!T11,0))</f>
        <v>7</v>
      </c>
      <c r="V11" s="7">
        <f>SUM($U$4:U11)</f>
        <v>37</v>
      </c>
    </row>
    <row r="12" spans="1:22" x14ac:dyDescent="0.35">
      <c r="A12" s="20"/>
      <c r="B12" s="21"/>
      <c r="C12" s="22"/>
      <c r="K12" s="26" t="s">
        <v>236</v>
      </c>
      <c r="L12" s="7">
        <v>37</v>
      </c>
      <c r="S12">
        <v>9</v>
      </c>
      <c r="T12" s="11">
        <v>44197</v>
      </c>
      <c r="U12">
        <f>COUNTIFS(Staff[Date Joined],"&gt;="&amp;'Date - Name'!T12,Staff[Date Joined],"&lt;="&amp; EOMONTH('Date - Name'!T12,0))</f>
        <v>6</v>
      </c>
      <c r="V12" s="7">
        <f>SUM($U$4:U12)</f>
        <v>43</v>
      </c>
    </row>
    <row r="13" spans="1:22" x14ac:dyDescent="0.35">
      <c r="A13" s="20"/>
      <c r="B13" s="21"/>
      <c r="C13" s="22"/>
      <c r="K13" s="3" t="s">
        <v>226</v>
      </c>
      <c r="L13" s="7"/>
      <c r="S13">
        <v>10</v>
      </c>
      <c r="T13" s="11">
        <v>44228</v>
      </c>
      <c r="U13">
        <f>COUNTIFS(Staff[Date Joined],"&gt;="&amp;'Date - Name'!T13,Staff[Date Joined],"&lt;="&amp; EOMONTH('Date - Name'!T13,0))</f>
        <v>4</v>
      </c>
      <c r="V13" s="7">
        <f>SUM($U$4:U13)</f>
        <v>47</v>
      </c>
    </row>
    <row r="14" spans="1:22" x14ac:dyDescent="0.35">
      <c r="A14" s="20"/>
      <c r="B14" s="21"/>
      <c r="C14" s="22"/>
      <c r="K14" s="26" t="s">
        <v>237</v>
      </c>
      <c r="L14" s="7">
        <v>6</v>
      </c>
      <c r="S14">
        <v>11</v>
      </c>
      <c r="T14" s="11">
        <v>44256</v>
      </c>
      <c r="U14">
        <f>COUNTIFS(Staff[Date Joined],"&gt;="&amp;'Date - Name'!T14,Staff[Date Joined],"&lt;="&amp; EOMONTH('Date - Name'!T14,0))</f>
        <v>9</v>
      </c>
      <c r="V14" s="7">
        <f>SUM($U$4:U14)</f>
        <v>56</v>
      </c>
    </row>
    <row r="15" spans="1:22" x14ac:dyDescent="0.35">
      <c r="A15" s="20"/>
      <c r="B15" s="21"/>
      <c r="C15" s="22"/>
      <c r="K15" s="26" t="s">
        <v>238</v>
      </c>
      <c r="L15" s="7">
        <v>10</v>
      </c>
      <c r="S15">
        <v>12</v>
      </c>
      <c r="T15" s="11">
        <v>44287</v>
      </c>
      <c r="U15">
        <f>COUNTIFS(Staff[Date Joined],"&gt;="&amp;'Date - Name'!T15,Staff[Date Joined],"&lt;="&amp; EOMONTH('Date - Name'!T15,0))</f>
        <v>5</v>
      </c>
      <c r="V15" s="7">
        <f>SUM($U$4:U15)</f>
        <v>61</v>
      </c>
    </row>
    <row r="16" spans="1:22" x14ac:dyDescent="0.35">
      <c r="A16" s="20"/>
      <c r="B16" s="21"/>
      <c r="C16" s="22"/>
      <c r="K16" s="26" t="s">
        <v>239</v>
      </c>
      <c r="L16" s="7">
        <v>19</v>
      </c>
      <c r="S16">
        <v>13</v>
      </c>
      <c r="T16" s="11">
        <v>44317</v>
      </c>
      <c r="U16">
        <f>COUNTIFS(Staff[Date Joined],"&gt;="&amp;'Date - Name'!T16,Staff[Date Joined],"&lt;="&amp; EOMONTH('Date - Name'!T16,0))</f>
        <v>10</v>
      </c>
      <c r="V16" s="7">
        <f>SUM($U$4:U16)</f>
        <v>71</v>
      </c>
    </row>
    <row r="17" spans="1:22" x14ac:dyDescent="0.35">
      <c r="A17" s="20"/>
      <c r="B17" s="21"/>
      <c r="C17" s="22"/>
      <c r="K17" s="26" t="s">
        <v>240</v>
      </c>
      <c r="L17" s="7">
        <v>24</v>
      </c>
      <c r="S17">
        <v>14</v>
      </c>
      <c r="T17" s="11">
        <v>44348</v>
      </c>
      <c r="U17">
        <f>COUNTIFS(Staff[Date Joined],"&gt;="&amp;'Date - Name'!T17,Staff[Date Joined],"&lt;="&amp; EOMONTH('Date - Name'!T17,0))</f>
        <v>6</v>
      </c>
      <c r="V17" s="7">
        <f>SUM($U$4:U17)</f>
        <v>77</v>
      </c>
    </row>
    <row r="18" spans="1:22" x14ac:dyDescent="0.35">
      <c r="A18" s="20"/>
      <c r="B18" s="21"/>
      <c r="C18" s="22"/>
      <c r="K18" s="26" t="s">
        <v>229</v>
      </c>
      <c r="L18" s="7">
        <v>34</v>
      </c>
      <c r="S18">
        <v>15</v>
      </c>
      <c r="T18" s="11">
        <v>44378</v>
      </c>
      <c r="U18">
        <f>COUNTIFS(Staff[Date Joined],"&gt;="&amp;'Date - Name'!T18,Staff[Date Joined],"&lt;="&amp; EOMONTH('Date - Name'!T18,0))</f>
        <v>13</v>
      </c>
      <c r="V18" s="7">
        <f>SUM($U$4:U18)</f>
        <v>90</v>
      </c>
    </row>
    <row r="19" spans="1:22" x14ac:dyDescent="0.35">
      <c r="A19" s="20"/>
      <c r="B19" s="21"/>
      <c r="C19" s="22"/>
      <c r="K19" s="26" t="s">
        <v>230</v>
      </c>
      <c r="L19" s="7">
        <v>40</v>
      </c>
      <c r="S19">
        <v>16</v>
      </c>
      <c r="T19" s="11">
        <v>44409</v>
      </c>
      <c r="U19">
        <f>COUNTIFS(Staff[Date Joined],"&gt;="&amp;'Date - Name'!T19,Staff[Date Joined],"&lt;="&amp; EOMONTH('Date - Name'!T19,0))</f>
        <v>4</v>
      </c>
      <c r="V19" s="7">
        <f>SUM($U$4:U19)</f>
        <v>94</v>
      </c>
    </row>
    <row r="20" spans="1:22" x14ac:dyDescent="0.35">
      <c r="A20" s="23"/>
      <c r="B20" s="24"/>
      <c r="C20" s="25"/>
      <c r="K20" s="26" t="s">
        <v>231</v>
      </c>
      <c r="L20" s="7">
        <v>53</v>
      </c>
      <c r="S20">
        <v>17</v>
      </c>
      <c r="T20" s="11">
        <v>44440</v>
      </c>
      <c r="U20">
        <f>COUNTIFS(Staff[Date Joined],"&gt;="&amp;'Date - Name'!T20,Staff[Date Joined],"&lt;="&amp; EOMONTH('Date - Name'!T20,0))</f>
        <v>11</v>
      </c>
      <c r="V20" s="7">
        <f>SUM($U$4:U20)</f>
        <v>105</v>
      </c>
    </row>
    <row r="21" spans="1:22" x14ac:dyDescent="0.35">
      <c r="K21" s="26" t="s">
        <v>232</v>
      </c>
      <c r="L21" s="7">
        <v>57</v>
      </c>
      <c r="S21">
        <v>18</v>
      </c>
      <c r="T21" s="11">
        <v>44470</v>
      </c>
      <c r="U21">
        <f>COUNTIFS(Staff[Date Joined],"&gt;="&amp;'Date - Name'!T21,Staff[Date Joined],"&lt;="&amp; EOMONTH('Date - Name'!T21,0))</f>
        <v>3</v>
      </c>
      <c r="V21" s="7">
        <f>SUM($U$4:U21)</f>
        <v>108</v>
      </c>
    </row>
    <row r="22" spans="1:22" x14ac:dyDescent="0.35">
      <c r="K22" s="26" t="s">
        <v>233</v>
      </c>
      <c r="L22" s="7">
        <v>68</v>
      </c>
      <c r="S22">
        <v>19</v>
      </c>
      <c r="T22" s="11">
        <v>44501</v>
      </c>
      <c r="U22">
        <f>COUNTIFS(Staff[Date Joined],"&gt;="&amp;'Date - Name'!T22,Staff[Date Joined],"&lt;="&amp; EOMONTH('Date - Name'!T22,0))</f>
        <v>4</v>
      </c>
      <c r="V22" s="7">
        <f>SUM($U$4:U22)</f>
        <v>112</v>
      </c>
    </row>
    <row r="23" spans="1:22" x14ac:dyDescent="0.35">
      <c r="K23" s="26" t="s">
        <v>234</v>
      </c>
      <c r="L23" s="7">
        <v>71</v>
      </c>
      <c r="S23">
        <v>20</v>
      </c>
      <c r="T23" s="11">
        <v>44531</v>
      </c>
      <c r="U23">
        <f>COUNTIFS(Staff[Date Joined],"&gt;="&amp;'Date - Name'!T23,Staff[Date Joined],"&lt;="&amp; EOMONTH('Date - Name'!T23,0))</f>
        <v>7</v>
      </c>
      <c r="V23" s="7">
        <f>SUM($U$4:U23)</f>
        <v>119</v>
      </c>
    </row>
    <row r="24" spans="1:22" x14ac:dyDescent="0.35">
      <c r="K24" s="26" t="s">
        <v>235</v>
      </c>
      <c r="L24" s="7">
        <v>75</v>
      </c>
      <c r="S24">
        <v>21</v>
      </c>
      <c r="T24" s="11">
        <v>44562</v>
      </c>
      <c r="U24">
        <f>COUNTIFS(Staff[Date Joined],"&gt;="&amp;'Date - Name'!T24,Staff[Date Joined],"&lt;="&amp; EOMONTH('Date - Name'!T24,0))</f>
        <v>3</v>
      </c>
      <c r="V24" s="7">
        <f>SUM($U$4:U24)</f>
        <v>122</v>
      </c>
    </row>
    <row r="25" spans="1:22" x14ac:dyDescent="0.35">
      <c r="K25" s="26" t="s">
        <v>236</v>
      </c>
      <c r="L25" s="7">
        <v>82</v>
      </c>
      <c r="S25">
        <v>22</v>
      </c>
      <c r="T25" s="11">
        <v>44593</v>
      </c>
      <c r="U25">
        <f>COUNTIFS(Staff[Date Joined],"&gt;="&amp;'Date - Name'!T25,Staff[Date Joined],"&lt;="&amp; EOMONTH('Date - Name'!T25,0))</f>
        <v>10</v>
      </c>
      <c r="V25" s="7">
        <f>SUM($U$4:U25)</f>
        <v>132</v>
      </c>
    </row>
    <row r="26" spans="1:22" x14ac:dyDescent="0.35">
      <c r="K26" s="3" t="s">
        <v>227</v>
      </c>
      <c r="L26" s="7"/>
      <c r="S26">
        <v>23</v>
      </c>
      <c r="T26" s="11">
        <v>44621</v>
      </c>
      <c r="U26">
        <f>COUNTIFS(Staff[Date Joined],"&gt;="&amp;'Date - Name'!T26,Staff[Date Joined],"&lt;="&amp; EOMONTH('Date - Name'!T26,0))</f>
        <v>9</v>
      </c>
      <c r="V26" s="7">
        <f>SUM($U$4:U26)</f>
        <v>141</v>
      </c>
    </row>
    <row r="27" spans="1:22" x14ac:dyDescent="0.35">
      <c r="K27" s="26" t="s">
        <v>237</v>
      </c>
      <c r="L27" s="7">
        <v>3</v>
      </c>
      <c r="S27">
        <v>24</v>
      </c>
      <c r="T27" s="11">
        <v>44652</v>
      </c>
      <c r="U27">
        <f>COUNTIFS(Staff[Date Joined],"&gt;="&amp;'Date - Name'!T27,Staff[Date Joined],"&lt;="&amp; EOMONTH('Date - Name'!T27,0))</f>
        <v>9</v>
      </c>
      <c r="V27" s="7">
        <f>SUM($U$4:U27)</f>
        <v>150</v>
      </c>
    </row>
    <row r="28" spans="1:22" x14ac:dyDescent="0.35">
      <c r="K28" s="26" t="s">
        <v>238</v>
      </c>
      <c r="L28" s="7">
        <v>13</v>
      </c>
      <c r="S28">
        <v>25</v>
      </c>
      <c r="T28" s="11">
        <v>44682</v>
      </c>
      <c r="U28">
        <f>COUNTIFS(Staff[Date Joined],"&gt;="&amp;'Date - Name'!T28,Staff[Date Joined],"&lt;="&amp; EOMONTH('Date - Name'!T28,0))</f>
        <v>9</v>
      </c>
      <c r="V28" s="7">
        <f>SUM($U$4:U28)</f>
        <v>159</v>
      </c>
    </row>
    <row r="29" spans="1:22" x14ac:dyDescent="0.35">
      <c r="K29" s="26" t="s">
        <v>239</v>
      </c>
      <c r="L29" s="7">
        <v>22</v>
      </c>
      <c r="S29">
        <v>26</v>
      </c>
      <c r="T29" s="11">
        <v>44713</v>
      </c>
      <c r="U29">
        <f>COUNTIFS(Staff[Date Joined],"&gt;="&amp;'Date - Name'!T29,Staff[Date Joined],"&lt;="&amp; EOMONTH('Date - Name'!T29,0))</f>
        <v>7</v>
      </c>
      <c r="V29" s="7">
        <f>SUM($U$4:U29)</f>
        <v>166</v>
      </c>
    </row>
    <row r="30" spans="1:22" x14ac:dyDescent="0.35">
      <c r="K30" s="26" t="s">
        <v>240</v>
      </c>
      <c r="L30" s="7">
        <v>31</v>
      </c>
      <c r="S30">
        <v>27</v>
      </c>
      <c r="T30" s="11">
        <v>44743</v>
      </c>
      <c r="U30">
        <f>COUNTIFS(Staff[Date Joined],"&gt;="&amp;'Date - Name'!T30,Staff[Date Joined],"&lt;="&amp; EOMONTH('Date - Name'!T30,0))</f>
        <v>5</v>
      </c>
      <c r="V30" s="7">
        <f>SUM($U$4:U30)</f>
        <v>171</v>
      </c>
    </row>
    <row r="31" spans="1:22" x14ac:dyDescent="0.35">
      <c r="K31" s="26" t="s">
        <v>229</v>
      </c>
      <c r="L31" s="7">
        <v>40</v>
      </c>
      <c r="S31">
        <v>28</v>
      </c>
      <c r="T31" s="11">
        <v>44774</v>
      </c>
      <c r="U31">
        <f>COUNTIFS(Staff[Date Joined],"&gt;="&amp;'Date - Name'!T31,Staff[Date Joined],"&lt;="&amp; EOMONTH('Date - Name'!T31,0))</f>
        <v>5</v>
      </c>
      <c r="V31" s="7">
        <f>SUM($U$4:U31)</f>
        <v>176</v>
      </c>
    </row>
    <row r="32" spans="1:22" x14ac:dyDescent="0.35">
      <c r="K32" s="26" t="s">
        <v>230</v>
      </c>
      <c r="L32" s="7">
        <v>47</v>
      </c>
      <c r="S32">
        <v>29</v>
      </c>
      <c r="T32" s="11">
        <v>44805</v>
      </c>
      <c r="U32">
        <f>COUNTIFS(Staff[Date Joined],"&gt;="&amp;'Date - Name'!T32,Staff[Date Joined],"&lt;="&amp; EOMONTH('Date - Name'!T32,0))</f>
        <v>2</v>
      </c>
      <c r="V32" s="7">
        <f>SUM($U$4:U32)</f>
        <v>178</v>
      </c>
    </row>
    <row r="33" spans="11:22" x14ac:dyDescent="0.35">
      <c r="K33" s="26" t="s">
        <v>231</v>
      </c>
      <c r="L33" s="7">
        <v>52</v>
      </c>
      <c r="S33">
        <v>30</v>
      </c>
      <c r="T33" s="11">
        <v>44835</v>
      </c>
      <c r="U33">
        <f>COUNTIFS(Staff[Date Joined],"&gt;="&amp;'Date - Name'!T33,Staff[Date Joined],"&lt;="&amp; EOMONTH('Date - Name'!T33,0))</f>
        <v>3</v>
      </c>
      <c r="V33" s="7">
        <f>SUM($U$4:U33)</f>
        <v>181</v>
      </c>
    </row>
    <row r="34" spans="11:22" x14ac:dyDescent="0.35">
      <c r="K34" s="26" t="s">
        <v>232</v>
      </c>
      <c r="L34" s="7">
        <v>57</v>
      </c>
      <c r="S34">
        <v>31</v>
      </c>
      <c r="T34" s="11">
        <v>44866</v>
      </c>
      <c r="U34">
        <f>COUNTIFS(Staff[Date Joined],"&gt;="&amp;'Date - Name'!T34,Staff[Date Joined],"&lt;="&amp; EOMONTH('Date - Name'!T34,0))</f>
        <v>0</v>
      </c>
      <c r="V34" s="7">
        <f>SUM($U$4:U34)</f>
        <v>181</v>
      </c>
    </row>
    <row r="35" spans="11:22" x14ac:dyDescent="0.35">
      <c r="K35" s="26" t="s">
        <v>233</v>
      </c>
      <c r="L35" s="7">
        <v>59</v>
      </c>
      <c r="S35">
        <v>32</v>
      </c>
      <c r="T35" s="11">
        <v>44896</v>
      </c>
      <c r="U35">
        <f>COUNTIFS(Staff[Date Joined],"&gt;="&amp;'Date - Name'!T35,Staff[Date Joined],"&lt;="&amp; EOMONTH('Date - Name'!T35,0))</f>
        <v>0</v>
      </c>
      <c r="V35" s="7">
        <f>SUM($U$4:U35)</f>
        <v>181</v>
      </c>
    </row>
    <row r="36" spans="11:22" x14ac:dyDescent="0.35">
      <c r="K36" s="26" t="s">
        <v>234</v>
      </c>
      <c r="L36" s="7">
        <v>62</v>
      </c>
      <c r="S36">
        <v>33</v>
      </c>
      <c r="T36" s="11">
        <v>44927</v>
      </c>
      <c r="U36">
        <f>COUNTIFS(Staff[Date Joined],"&gt;="&amp;'Date - Name'!T36,Staff[Date Joined],"&lt;="&amp; EOMONTH('Date - Name'!T36,0))</f>
        <v>0</v>
      </c>
      <c r="V36" s="7">
        <f>SUM($U$4:U36)</f>
        <v>181</v>
      </c>
    </row>
    <row r="37" spans="11:22" x14ac:dyDescent="0.35">
      <c r="K37" s="3" t="s">
        <v>228</v>
      </c>
      <c r="L37" s="7"/>
      <c r="S37">
        <v>34</v>
      </c>
      <c r="T37" s="11">
        <v>44958</v>
      </c>
      <c r="U37">
        <f>COUNTIFS(Staff[Date Joined],"&gt;="&amp;'Date - Name'!T37,Staff[Date Joined],"&lt;="&amp; EOMONTH('Date - Name'!T37,0))</f>
        <v>1</v>
      </c>
      <c r="V37" s="7">
        <f>SUM($U$4:U37)</f>
        <v>182</v>
      </c>
    </row>
    <row r="38" spans="11:22" x14ac:dyDescent="0.35">
      <c r="K38" s="26" t="s">
        <v>238</v>
      </c>
      <c r="L38" s="7">
        <v>1</v>
      </c>
      <c r="S38">
        <v>35</v>
      </c>
      <c r="T38" s="11">
        <v>44986</v>
      </c>
      <c r="U38">
        <f>COUNTIFS(Staff[Date Joined],"&gt;="&amp;'Date - Name'!T38,Staff[Date Joined],"&lt;="&amp; EOMONTH('Date - Name'!T38,0))</f>
        <v>0</v>
      </c>
      <c r="V38" s="7">
        <f>SUM($U$4:U38)</f>
        <v>182</v>
      </c>
    </row>
    <row r="39" spans="11:22" x14ac:dyDescent="0.35">
      <c r="K39" s="26" t="s">
        <v>240</v>
      </c>
      <c r="L39" s="7">
        <v>2</v>
      </c>
      <c r="S39">
        <v>36</v>
      </c>
      <c r="T39" s="11">
        <v>45017</v>
      </c>
      <c r="U39">
        <f>COUNTIFS(Staff[Date Joined],"&gt;="&amp;'Date - Name'!T39,Staff[Date Joined],"&lt;="&amp; EOMONTH('Date - Name'!T39,0))</f>
        <v>1</v>
      </c>
      <c r="V39" s="7">
        <f>SUM($U$4:U39)</f>
        <v>183</v>
      </c>
    </row>
    <row r="40" spans="11:22" x14ac:dyDescent="0.35">
      <c r="K40" s="3" t="s">
        <v>218</v>
      </c>
      <c r="L40" s="7"/>
      <c r="T40" s="11"/>
    </row>
    <row r="41" spans="11:22" x14ac:dyDescent="0.35">
      <c r="T41" s="11"/>
    </row>
  </sheetData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7078-0235-43F8-92FC-593350139414}">
  <dimension ref="A1:E9"/>
  <sheetViews>
    <sheetView workbookViewId="0">
      <selection activeCell="B6" sqref="B6"/>
    </sheetView>
  </sheetViews>
  <sheetFormatPr defaultRowHeight="14.5" x14ac:dyDescent="0.35"/>
  <cols>
    <col min="1" max="1" width="13.36328125" bestFit="1" customWidth="1"/>
    <col min="2" max="2" width="13.54296875" bestFit="1" customWidth="1"/>
    <col min="4" max="4" width="13.36328125" bestFit="1" customWidth="1"/>
    <col min="5" max="5" width="13.54296875" bestFit="1" customWidth="1"/>
  </cols>
  <sheetData>
    <row r="1" spans="1:5" x14ac:dyDescent="0.35">
      <c r="A1" s="16" t="s">
        <v>203</v>
      </c>
      <c r="B1" t="s" vm="1">
        <v>206</v>
      </c>
      <c r="D1" s="16" t="s">
        <v>203</v>
      </c>
      <c r="E1" t="s" vm="2">
        <v>204</v>
      </c>
    </row>
    <row r="3" spans="1:5" x14ac:dyDescent="0.35">
      <c r="A3" s="16" t="s">
        <v>2</v>
      </c>
      <c r="B3" t="s">
        <v>223</v>
      </c>
      <c r="D3" s="16" t="s">
        <v>2</v>
      </c>
      <c r="E3" t="s">
        <v>223</v>
      </c>
    </row>
    <row r="4" spans="1:5" x14ac:dyDescent="0.35">
      <c r="A4" s="3" t="s">
        <v>23</v>
      </c>
      <c r="B4" s="7">
        <v>27</v>
      </c>
      <c r="D4" s="3" t="s">
        <v>12</v>
      </c>
      <c r="E4" s="7">
        <v>28</v>
      </c>
    </row>
    <row r="5" spans="1:5" x14ac:dyDescent="0.35">
      <c r="A5" s="3" t="s">
        <v>12</v>
      </c>
      <c r="B5" s="7">
        <v>27</v>
      </c>
      <c r="D5" s="3" t="s">
        <v>23</v>
      </c>
      <c r="E5" s="7">
        <v>27</v>
      </c>
    </row>
    <row r="6" spans="1:5" x14ac:dyDescent="0.35">
      <c r="A6" s="3" t="s">
        <v>17</v>
      </c>
      <c r="B6" s="7">
        <v>19</v>
      </c>
      <c r="D6" s="3" t="s">
        <v>17</v>
      </c>
      <c r="E6" s="7">
        <v>19</v>
      </c>
    </row>
    <row r="7" spans="1:5" x14ac:dyDescent="0.35">
      <c r="A7" s="3" t="s">
        <v>9</v>
      </c>
      <c r="B7" s="7">
        <v>14</v>
      </c>
      <c r="D7" s="3" t="s">
        <v>9</v>
      </c>
      <c r="E7" s="7">
        <v>14</v>
      </c>
    </row>
    <row r="8" spans="1:5" x14ac:dyDescent="0.35">
      <c r="A8" s="3" t="s">
        <v>26</v>
      </c>
      <c r="B8" s="7">
        <v>4</v>
      </c>
      <c r="D8" s="3" t="s">
        <v>26</v>
      </c>
      <c r="E8" s="7">
        <v>4</v>
      </c>
    </row>
    <row r="9" spans="1:5" x14ac:dyDescent="0.35">
      <c r="A9" s="3" t="s">
        <v>218</v>
      </c>
      <c r="B9" s="7">
        <v>91</v>
      </c>
      <c r="D9" s="3" t="s">
        <v>218</v>
      </c>
      <c r="E9" s="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CFD4-9160-4EBF-ACCB-FFD2163927C0}">
  <dimension ref="B1:Q186"/>
  <sheetViews>
    <sheetView topLeftCell="A3" zoomScaleNormal="100" workbookViewId="0">
      <selection activeCell="H13" sqref="H13"/>
    </sheetView>
  </sheetViews>
  <sheetFormatPr defaultRowHeight="14.5" x14ac:dyDescent="0.35"/>
  <cols>
    <col min="1" max="1" width="4.453125" customWidth="1"/>
    <col min="2" max="2" width="28.1796875" bestFit="1" customWidth="1"/>
    <col min="3" max="3" width="9.26953125" bestFit="1" customWidth="1"/>
    <col min="4" max="4" width="6.1796875" bestFit="1" customWidth="1"/>
    <col min="5" max="5" width="13.1796875" bestFit="1" customWidth="1"/>
    <col min="6" max="6" width="12.90625" bestFit="1" customWidth="1"/>
    <col min="7" max="7" width="13.36328125" bestFit="1" customWidth="1"/>
    <col min="8" max="8" width="8.08984375" bestFit="1" customWidth="1"/>
    <col min="9" max="9" width="10" style="9" customWidth="1"/>
    <col min="10" max="10" width="9.81640625" bestFit="1" customWidth="1"/>
    <col min="11" max="12" width="9.81640625" customWidth="1"/>
    <col min="13" max="13" width="8.08984375" bestFit="1" customWidth="1"/>
    <col min="14" max="14" width="5.26953125" customWidth="1"/>
    <col min="15" max="15" width="17" customWidth="1"/>
    <col min="17" max="18" width="10.08984375" bestFit="1" customWidth="1"/>
  </cols>
  <sheetData>
    <row r="1" spans="2:17" x14ac:dyDescent="0.35">
      <c r="I1"/>
    </row>
    <row r="2" spans="2:17" x14ac:dyDescent="0.35">
      <c r="I2"/>
    </row>
    <row r="3" spans="2:17" x14ac:dyDescent="0.35">
      <c r="B3" t="s">
        <v>0</v>
      </c>
      <c r="C3" t="s">
        <v>1</v>
      </c>
      <c r="D3" t="s">
        <v>3</v>
      </c>
      <c r="E3" t="s">
        <v>6</v>
      </c>
      <c r="F3" t="s">
        <v>4</v>
      </c>
      <c r="G3" t="s">
        <v>2</v>
      </c>
      <c r="H3" t="s">
        <v>5</v>
      </c>
      <c r="I3" t="s">
        <v>211</v>
      </c>
      <c r="J3" t="s">
        <v>203</v>
      </c>
      <c r="K3" t="s">
        <v>222</v>
      </c>
      <c r="L3" t="s">
        <v>224</v>
      </c>
    </row>
    <row r="4" spans="2:17" x14ac:dyDescent="0.35">
      <c r="B4" s="7" t="s">
        <v>133</v>
      </c>
      <c r="C4" s="7" t="s">
        <v>15</v>
      </c>
      <c r="D4">
        <v>42</v>
      </c>
      <c r="E4" t="s">
        <v>43</v>
      </c>
      <c r="F4" s="11">
        <v>44718</v>
      </c>
      <c r="G4" s="7" t="s">
        <v>12</v>
      </c>
      <c r="H4">
        <v>75000</v>
      </c>
      <c r="I4" s="9">
        <f ca="1">(TODAY()-Staff[[#This Row],[Date Joined]])/365</f>
        <v>2.5342465753424657</v>
      </c>
      <c r="J4" t="s">
        <v>204</v>
      </c>
      <c r="K4">
        <f ca="1">ROUNDUP(IF(Staff[[#This Row],[Tenure]]&gt;2,3%*Staff[[#This Row],[Salary]],0),0)</f>
        <v>2250</v>
      </c>
      <c r="L4">
        <f>_xlfn.XLOOKUP(Staff[[#This Row],[Rating]],$O$26:$O$30,$P$26:$P$30)</f>
        <v>5</v>
      </c>
    </row>
    <row r="5" spans="2:17" ht="21" x14ac:dyDescent="0.35">
      <c r="B5" s="7" t="s">
        <v>173</v>
      </c>
      <c r="C5" s="7" t="s">
        <v>15</v>
      </c>
      <c r="D5">
        <v>38</v>
      </c>
      <c r="E5" t="s">
        <v>43</v>
      </c>
      <c r="F5" s="11">
        <v>44316</v>
      </c>
      <c r="G5" s="7" t="s">
        <v>9</v>
      </c>
      <c r="H5">
        <v>109160</v>
      </c>
      <c r="I5" s="9">
        <f ca="1">(TODAY()-Staff[[#This Row],[Date Joined]])/365</f>
        <v>3.6356164383561644</v>
      </c>
      <c r="J5" t="s">
        <v>204</v>
      </c>
      <c r="K5">
        <f ca="1">ROUNDUP(IF(Staff[[#This Row],[Tenure]]&gt;2,3%*Staff[[#This Row],[Salary]],0),0)</f>
        <v>3275</v>
      </c>
      <c r="L5">
        <f>_xlfn.XLOOKUP(Staff[[#This Row],[Rating]],$O$26:$O$30,$P$26:$P$30)</f>
        <v>5</v>
      </c>
      <c r="N5" s="13">
        <v>1</v>
      </c>
      <c r="O5" t="s">
        <v>207</v>
      </c>
      <c r="P5">
        <f>COUNTA(Staff[Name])</f>
        <v>183</v>
      </c>
    </row>
    <row r="6" spans="2:17" x14ac:dyDescent="0.35">
      <c r="B6" s="7" t="s">
        <v>42</v>
      </c>
      <c r="C6" s="7" t="s">
        <v>15</v>
      </c>
      <c r="D6">
        <v>42</v>
      </c>
      <c r="E6" t="s">
        <v>43</v>
      </c>
      <c r="F6" s="11">
        <v>44779</v>
      </c>
      <c r="G6" s="7" t="s">
        <v>12</v>
      </c>
      <c r="H6">
        <v>75000</v>
      </c>
      <c r="I6" s="9">
        <f ca="1">(TODAY()-Staff[[#This Row],[Date Joined]])/365</f>
        <v>2.3671232876712329</v>
      </c>
      <c r="J6" t="s">
        <v>206</v>
      </c>
      <c r="K6">
        <f ca="1">ROUNDUP(IF(Staff[[#This Row],[Tenure]]&gt;2,3%*Staff[[#This Row],[Salary]],0),0)</f>
        <v>2250</v>
      </c>
      <c r="L6">
        <f>_xlfn.XLOOKUP(Staff[[#This Row],[Rating]],$O$26:$O$30,$P$26:$P$30)</f>
        <v>5</v>
      </c>
      <c r="O6" t="s">
        <v>208</v>
      </c>
      <c r="P6" s="10">
        <f>AVERAGE(Staff[Salary])</f>
        <v>77173.715846994543</v>
      </c>
    </row>
    <row r="7" spans="2:17" x14ac:dyDescent="0.35">
      <c r="B7" s="7" t="s">
        <v>74</v>
      </c>
      <c r="C7" s="7" t="s">
        <v>15</v>
      </c>
      <c r="D7">
        <v>38</v>
      </c>
      <c r="E7" t="s">
        <v>43</v>
      </c>
      <c r="F7" s="11">
        <v>44377</v>
      </c>
      <c r="G7" s="7" t="s">
        <v>9</v>
      </c>
      <c r="H7">
        <v>109160</v>
      </c>
      <c r="I7" s="9">
        <f ca="1">(TODAY()-Staff[[#This Row],[Date Joined]])/365</f>
        <v>3.4684931506849317</v>
      </c>
      <c r="J7" t="s">
        <v>206</v>
      </c>
      <c r="K7">
        <f ca="1">ROUNDUP(IF(Staff[[#This Row],[Tenure]]&gt;2,3%*Staff[[#This Row],[Salary]],0),0)</f>
        <v>3275</v>
      </c>
      <c r="L7">
        <f>_xlfn.XLOOKUP(Staff[[#This Row],[Rating]],$O$26:$O$30,$P$26:$P$30)</f>
        <v>5</v>
      </c>
      <c r="O7" t="s">
        <v>210</v>
      </c>
      <c r="P7" s="10">
        <f>AVERAGE(Staff[Age])</f>
        <v>30.42622950819672</v>
      </c>
    </row>
    <row r="8" spans="2:17" x14ac:dyDescent="0.35">
      <c r="B8" s="7" t="s">
        <v>111</v>
      </c>
      <c r="C8" s="7" t="s">
        <v>15</v>
      </c>
      <c r="D8">
        <v>32</v>
      </c>
      <c r="E8" t="s">
        <v>10</v>
      </c>
      <c r="F8" s="11">
        <v>44293</v>
      </c>
      <c r="G8" s="7" t="s">
        <v>23</v>
      </c>
      <c r="H8">
        <v>43840</v>
      </c>
      <c r="I8" s="9">
        <f ca="1">(TODAY()-Staff[[#This Row],[Date Joined]])/365</f>
        <v>3.6986301369863015</v>
      </c>
      <c r="J8" t="s">
        <v>204</v>
      </c>
      <c r="K8">
        <f ca="1">ROUNDUP(IF(Staff[[#This Row],[Tenure]]&gt;2,3%*Staff[[#This Row],[Salary]],0),0)</f>
        <v>1316</v>
      </c>
      <c r="L8">
        <f>_xlfn.XLOOKUP(Staff[[#This Row],[Rating]],$O$26:$O$30,$P$26:$P$30)</f>
        <v>4</v>
      </c>
      <c r="O8" t="s">
        <v>209</v>
      </c>
      <c r="P8" s="8">
        <f ca="1">AVERAGE(Staff[Tenure])</f>
        <v>3.3149786660678173</v>
      </c>
    </row>
    <row r="9" spans="2:17" x14ac:dyDescent="0.35">
      <c r="B9" s="7" t="s">
        <v>115</v>
      </c>
      <c r="C9" s="7" t="s">
        <v>15</v>
      </c>
      <c r="D9">
        <v>38</v>
      </c>
      <c r="E9" t="s">
        <v>10</v>
      </c>
      <c r="F9" s="11">
        <v>44268</v>
      </c>
      <c r="G9" s="7" t="s">
        <v>9</v>
      </c>
      <c r="H9">
        <v>56870</v>
      </c>
      <c r="I9" s="9">
        <f ca="1">(TODAY()-Staff[[#This Row],[Date Joined]])/365</f>
        <v>3.7671232876712328</v>
      </c>
      <c r="J9" t="s">
        <v>204</v>
      </c>
      <c r="K9">
        <f ca="1">ROUNDUP(IF(Staff[[#This Row],[Tenure]]&gt;2,3%*Staff[[#This Row],[Salary]],0),0)</f>
        <v>1707</v>
      </c>
      <c r="L9">
        <f>_xlfn.XLOOKUP(Staff[[#This Row],[Rating]],$O$26:$O$30,$P$26:$P$30)</f>
        <v>4</v>
      </c>
      <c r="O9" t="s">
        <v>212</v>
      </c>
      <c r="P9">
        <f>COUNTIFS(C:C,"Female")</f>
        <v>86</v>
      </c>
    </row>
    <row r="10" spans="2:17" x14ac:dyDescent="0.35">
      <c r="B10" s="7" t="s">
        <v>119</v>
      </c>
      <c r="C10" s="7" t="s">
        <v>8</v>
      </c>
      <c r="D10">
        <v>25</v>
      </c>
      <c r="E10" t="s">
        <v>10</v>
      </c>
      <c r="F10" s="11">
        <v>44665</v>
      </c>
      <c r="G10" s="7" t="s">
        <v>12</v>
      </c>
      <c r="H10">
        <v>109190</v>
      </c>
      <c r="I10" s="9">
        <f ca="1">(TODAY()-Staff[[#This Row],[Date Joined]])/365</f>
        <v>2.6794520547945204</v>
      </c>
      <c r="J10" t="s">
        <v>204</v>
      </c>
      <c r="K10">
        <f ca="1">ROUNDUP(IF(Staff[[#This Row],[Tenure]]&gt;2,3%*Staff[[#This Row],[Salary]],0),0)</f>
        <v>3276</v>
      </c>
      <c r="L10">
        <f>_xlfn.XLOOKUP(Staff[[#This Row],[Rating]],$O$26:$O$30,$P$26:$P$30)</f>
        <v>4</v>
      </c>
      <c r="O10" t="s">
        <v>213</v>
      </c>
      <c r="P10" s="12">
        <f>P9/P5</f>
        <v>0.46994535519125685</v>
      </c>
    </row>
    <row r="11" spans="2:17" x14ac:dyDescent="0.35">
      <c r="B11" s="7" t="s">
        <v>122</v>
      </c>
      <c r="C11" s="7" t="s">
        <v>8</v>
      </c>
      <c r="D11">
        <v>28</v>
      </c>
      <c r="E11" t="s">
        <v>10</v>
      </c>
      <c r="F11" s="11">
        <v>43980</v>
      </c>
      <c r="G11" s="7" t="s">
        <v>17</v>
      </c>
      <c r="H11">
        <v>48170</v>
      </c>
      <c r="I11" s="9">
        <f ca="1">(TODAY()-Staff[[#This Row],[Date Joined]])/365</f>
        <v>4.5561643835616437</v>
      </c>
      <c r="J11" t="s">
        <v>204</v>
      </c>
      <c r="K11">
        <f ca="1">ROUNDUP(IF(Staff[[#This Row],[Tenure]]&gt;2,3%*Staff[[#This Row],[Salary]],0),0)</f>
        <v>1446</v>
      </c>
      <c r="L11">
        <f>_xlfn.XLOOKUP(Staff[[#This Row],[Rating]],$O$26:$O$30,$P$26:$P$30)</f>
        <v>4</v>
      </c>
    </row>
    <row r="12" spans="2:17" x14ac:dyDescent="0.35">
      <c r="B12" s="7" t="s">
        <v>129</v>
      </c>
      <c r="C12" s="7" t="s">
        <v>15</v>
      </c>
      <c r="D12">
        <v>22</v>
      </c>
      <c r="E12" t="s">
        <v>10</v>
      </c>
      <c r="F12" s="11">
        <v>44388</v>
      </c>
      <c r="G12" s="7" t="s">
        <v>12</v>
      </c>
      <c r="H12">
        <v>76900</v>
      </c>
      <c r="I12" s="9">
        <f ca="1">(TODAY()-Staff[[#This Row],[Date Joined]])/365</f>
        <v>3.4383561643835616</v>
      </c>
      <c r="J12" t="s">
        <v>204</v>
      </c>
      <c r="K12">
        <f ca="1">ROUNDUP(IF(Staff[[#This Row],[Tenure]]&gt;2,3%*Staff[[#This Row],[Salary]],0),0)</f>
        <v>2307</v>
      </c>
      <c r="L12">
        <f>_xlfn.XLOOKUP(Staff[[#This Row],[Rating]],$O$26:$O$30,$P$26:$P$30)</f>
        <v>4</v>
      </c>
      <c r="N12" t="s">
        <v>214</v>
      </c>
    </row>
    <row r="13" spans="2:17" ht="21" x14ac:dyDescent="0.35">
      <c r="B13" s="7" t="s">
        <v>143</v>
      </c>
      <c r="C13" s="7" t="s">
        <v>15</v>
      </c>
      <c r="D13">
        <v>25</v>
      </c>
      <c r="E13" t="s">
        <v>10</v>
      </c>
      <c r="F13" s="11">
        <v>44633</v>
      </c>
      <c r="G13" s="7" t="s">
        <v>23</v>
      </c>
      <c r="H13">
        <v>80700</v>
      </c>
      <c r="I13" s="9">
        <f ca="1">(TODAY()-Staff[[#This Row],[Date Joined]])/365</f>
        <v>2.7671232876712328</v>
      </c>
      <c r="J13" t="s">
        <v>204</v>
      </c>
      <c r="K13">
        <f ca="1">ROUNDUP(IF(Staff[[#This Row],[Tenure]]&gt;2,3%*Staff[[#This Row],[Salary]],0),0)</f>
        <v>2421</v>
      </c>
      <c r="L13">
        <f>_xlfn.XLOOKUP(Staff[[#This Row],[Rating]],$O$26:$O$30,$P$26:$P$30)</f>
        <v>4</v>
      </c>
      <c r="N13" s="13">
        <v>2</v>
      </c>
    </row>
    <row r="14" spans="2:17" x14ac:dyDescent="0.35">
      <c r="B14" s="7" t="s">
        <v>147</v>
      </c>
      <c r="C14" s="7" t="s">
        <v>8</v>
      </c>
      <c r="D14">
        <v>22</v>
      </c>
      <c r="E14" t="s">
        <v>10</v>
      </c>
      <c r="F14" s="11">
        <v>44384</v>
      </c>
      <c r="G14" s="7" t="s">
        <v>9</v>
      </c>
      <c r="H14">
        <v>112780</v>
      </c>
      <c r="I14" s="9">
        <f ca="1">(TODAY()-Staff[[#This Row],[Date Joined]])/365</f>
        <v>3.4493150684931506</v>
      </c>
      <c r="J14" t="s">
        <v>204</v>
      </c>
      <c r="K14">
        <f ca="1">ROUNDUP(IF(Staff[[#This Row],[Tenure]]&gt;2,3%*Staff[[#This Row],[Salary]],0),0)</f>
        <v>3384</v>
      </c>
      <c r="L14">
        <f>_xlfn.XLOOKUP(Staff[[#This Row],[Rating]],$O$26:$O$30,$P$26:$P$30)</f>
        <v>4</v>
      </c>
      <c r="O14" s="14" t="s">
        <v>121</v>
      </c>
    </row>
    <row r="15" spans="2:17" x14ac:dyDescent="0.35">
      <c r="B15" s="7" t="s">
        <v>158</v>
      </c>
      <c r="C15" s="7" t="s">
        <v>8</v>
      </c>
      <c r="D15">
        <v>27</v>
      </c>
      <c r="E15" t="s">
        <v>10</v>
      </c>
      <c r="F15" s="11">
        <v>44174</v>
      </c>
      <c r="G15" s="7" t="s">
        <v>17</v>
      </c>
      <c r="H15">
        <v>91650</v>
      </c>
      <c r="I15" s="9">
        <f ca="1">(TODAY()-Staff[[#This Row],[Date Joined]])/365</f>
        <v>4.0246575342465754</v>
      </c>
      <c r="J15" t="s">
        <v>204</v>
      </c>
      <c r="K15">
        <f ca="1">ROUNDUP(IF(Staff[[#This Row],[Tenure]]&gt;2,3%*Staff[[#This Row],[Salary]],0),0)</f>
        <v>2750</v>
      </c>
      <c r="L15">
        <f>_xlfn.XLOOKUP(Staff[[#This Row],[Rating]],$O$26:$O$30,$P$26:$P$30)</f>
        <v>4</v>
      </c>
    </row>
    <row r="16" spans="2:17" x14ac:dyDescent="0.35">
      <c r="B16" s="7" t="s">
        <v>161</v>
      </c>
      <c r="C16" s="7" t="s">
        <v>205</v>
      </c>
      <c r="D16">
        <v>27</v>
      </c>
      <c r="E16" t="s">
        <v>10</v>
      </c>
      <c r="F16" s="11">
        <v>44212</v>
      </c>
      <c r="G16" s="7" t="s">
        <v>23</v>
      </c>
      <c r="H16">
        <v>90700</v>
      </c>
      <c r="I16" s="9">
        <f ca="1">(TODAY()-Staff[[#This Row],[Date Joined]])/365</f>
        <v>3.9205479452054797</v>
      </c>
      <c r="J16" t="s">
        <v>204</v>
      </c>
      <c r="K16">
        <f ca="1">ROUNDUP(IF(Staff[[#This Row],[Tenure]]&gt;2,3%*Staff[[#This Row],[Salary]],0),0)</f>
        <v>2721</v>
      </c>
      <c r="L16">
        <f>_xlfn.XLOOKUP(Staff[[#This Row],[Rating]],$O$26:$O$30,$P$26:$P$30)</f>
        <v>4</v>
      </c>
      <c r="O16" s="3" t="str" cm="1">
        <f t="array" aca="1" ref="O16:O23" ca="1">TRANSPOSE(_xlfn.XLOOKUP(O14,B:B, C:J))</f>
        <v>Male</v>
      </c>
      <c r="Q16" s="11"/>
    </row>
    <row r="17" spans="2:16" x14ac:dyDescent="0.35">
      <c r="B17" s="7" t="s">
        <v>200</v>
      </c>
      <c r="C17" s="7" t="s">
        <v>8</v>
      </c>
      <c r="D17">
        <v>33</v>
      </c>
      <c r="E17" t="s">
        <v>10</v>
      </c>
      <c r="F17" s="11">
        <v>44640</v>
      </c>
      <c r="G17" s="7" t="s">
        <v>12</v>
      </c>
      <c r="H17">
        <v>48530</v>
      </c>
      <c r="I17" s="9">
        <f ca="1">(TODAY()-Staff[[#This Row],[Date Joined]])/365</f>
        <v>2.7479452054794522</v>
      </c>
      <c r="J17" t="s">
        <v>204</v>
      </c>
      <c r="K17">
        <f ca="1">ROUNDUP(IF(Staff[[#This Row],[Tenure]]&gt;2,3%*Staff[[#This Row],[Salary]],0),0)</f>
        <v>1456</v>
      </c>
      <c r="L17">
        <f>_xlfn.XLOOKUP(Staff[[#This Row],[Rating]],$O$26:$O$30,$P$26:$P$30)</f>
        <v>4</v>
      </c>
      <c r="O17" s="3">
        <f ca="1"/>
        <v>30</v>
      </c>
    </row>
    <row r="18" spans="2:16" x14ac:dyDescent="0.35">
      <c r="B18" s="7" t="s">
        <v>7</v>
      </c>
      <c r="C18" s="7" t="s">
        <v>8</v>
      </c>
      <c r="D18">
        <v>22</v>
      </c>
      <c r="E18" t="s">
        <v>10</v>
      </c>
      <c r="F18" s="11">
        <v>44446</v>
      </c>
      <c r="G18" s="7" t="s">
        <v>9</v>
      </c>
      <c r="H18">
        <v>112780</v>
      </c>
      <c r="I18" s="9">
        <f ca="1">(TODAY()-Staff[[#This Row],[Date Joined]])/365</f>
        <v>3.2794520547945205</v>
      </c>
      <c r="J18" t="s">
        <v>206</v>
      </c>
      <c r="K18">
        <f ca="1">ROUNDUP(IF(Staff[[#This Row],[Tenure]]&gt;2,3%*Staff[[#This Row],[Salary]],0),0)</f>
        <v>3384</v>
      </c>
      <c r="L18">
        <f>_xlfn.XLOOKUP(Staff[[#This Row],[Rating]],$O$26:$O$30,$P$26:$P$30)</f>
        <v>4</v>
      </c>
      <c r="O18" s="3" t="str">
        <f ca="1"/>
        <v>Average</v>
      </c>
    </row>
    <row r="19" spans="2:16" x14ac:dyDescent="0.35">
      <c r="B19" s="7" t="s">
        <v>21</v>
      </c>
      <c r="C19" s="7" t="s">
        <v>8</v>
      </c>
      <c r="D19">
        <v>33</v>
      </c>
      <c r="E19" t="s">
        <v>10</v>
      </c>
      <c r="F19" s="11">
        <v>44701</v>
      </c>
      <c r="G19" s="7" t="s">
        <v>12</v>
      </c>
      <c r="H19">
        <v>48530</v>
      </c>
      <c r="I19" s="9">
        <f ca="1">(TODAY()-Staff[[#This Row],[Date Joined]])/365</f>
        <v>2.580821917808219</v>
      </c>
      <c r="J19" t="s">
        <v>206</v>
      </c>
      <c r="K19">
        <f ca="1">ROUNDUP(IF(Staff[[#This Row],[Tenure]]&gt;2,3%*Staff[[#This Row],[Salary]],0),0)</f>
        <v>1456</v>
      </c>
      <c r="L19">
        <f>_xlfn.XLOOKUP(Staff[[#This Row],[Rating]],$O$26:$O$30,$P$26:$P$30)</f>
        <v>4</v>
      </c>
      <c r="O19" s="15">
        <f ca="1"/>
        <v>44544</v>
      </c>
    </row>
    <row r="20" spans="2:16" x14ac:dyDescent="0.35">
      <c r="B20" s="7" t="s">
        <v>31</v>
      </c>
      <c r="C20" s="7" t="s">
        <v>15</v>
      </c>
      <c r="D20">
        <v>32</v>
      </c>
      <c r="E20" t="s">
        <v>10</v>
      </c>
      <c r="F20" s="11">
        <v>44354</v>
      </c>
      <c r="G20" s="7" t="s">
        <v>23</v>
      </c>
      <c r="H20">
        <v>43840</v>
      </c>
      <c r="I20" s="9">
        <f ca="1">(TODAY()-Staff[[#This Row],[Date Joined]])/365</f>
        <v>3.5315068493150683</v>
      </c>
      <c r="J20" t="s">
        <v>206</v>
      </c>
      <c r="K20">
        <f ca="1">ROUNDUP(IF(Staff[[#This Row],[Tenure]]&gt;2,3%*Staff[[#This Row],[Salary]],0),0)</f>
        <v>1316</v>
      </c>
      <c r="L20">
        <f>_xlfn.XLOOKUP(Staff[[#This Row],[Rating]],$O$26:$O$30,$P$26:$P$30)</f>
        <v>4</v>
      </c>
      <c r="O20" s="3" t="str">
        <f ca="1"/>
        <v>Finance</v>
      </c>
    </row>
    <row r="21" spans="2:16" x14ac:dyDescent="0.35">
      <c r="B21" s="7" t="s">
        <v>52</v>
      </c>
      <c r="C21" s="7" t="s">
        <v>8</v>
      </c>
      <c r="D21">
        <v>25</v>
      </c>
      <c r="E21" t="s">
        <v>10</v>
      </c>
      <c r="F21" s="11">
        <v>44726</v>
      </c>
      <c r="G21" s="7" t="s">
        <v>12</v>
      </c>
      <c r="H21">
        <v>109190</v>
      </c>
      <c r="I21" s="9">
        <f ca="1">(TODAY()-Staff[[#This Row],[Date Joined]])/365</f>
        <v>2.5123287671232877</v>
      </c>
      <c r="J21" t="s">
        <v>206</v>
      </c>
      <c r="K21">
        <f ca="1">ROUNDUP(IF(Staff[[#This Row],[Tenure]]&gt;2,3%*Staff[[#This Row],[Salary]],0),0)</f>
        <v>3276</v>
      </c>
      <c r="L21">
        <f>_xlfn.XLOOKUP(Staff[[#This Row],[Rating]],$O$26:$O$30,$P$26:$P$30)</f>
        <v>4</v>
      </c>
      <c r="O21" s="3">
        <f ca="1"/>
        <v>96800</v>
      </c>
    </row>
    <row r="22" spans="2:16" x14ac:dyDescent="0.35">
      <c r="B22" s="7" t="s">
        <v>66</v>
      </c>
      <c r="C22" s="7" t="s">
        <v>15</v>
      </c>
      <c r="D22">
        <v>25</v>
      </c>
      <c r="E22" t="s">
        <v>10</v>
      </c>
      <c r="F22" s="11">
        <v>44694</v>
      </c>
      <c r="G22" s="7" t="s">
        <v>23</v>
      </c>
      <c r="H22">
        <v>80700</v>
      </c>
      <c r="I22" s="9">
        <f ca="1">(TODAY()-Staff[[#This Row],[Date Joined]])/365</f>
        <v>2.6</v>
      </c>
      <c r="J22" t="s">
        <v>206</v>
      </c>
      <c r="K22">
        <f ca="1">ROUNDUP(IF(Staff[[#This Row],[Tenure]]&gt;2,3%*Staff[[#This Row],[Salary]],0),0)</f>
        <v>2421</v>
      </c>
      <c r="L22">
        <f>_xlfn.XLOOKUP(Staff[[#This Row],[Rating]],$O$26:$O$30,$P$26:$P$30)</f>
        <v>4</v>
      </c>
      <c r="O22" s="3">
        <f ca="1"/>
        <v>3.010958904109589</v>
      </c>
    </row>
    <row r="23" spans="2:16" x14ac:dyDescent="0.35">
      <c r="B23" s="7" t="s">
        <v>69</v>
      </c>
      <c r="C23" s="7" t="s">
        <v>8</v>
      </c>
      <c r="D23">
        <v>28</v>
      </c>
      <c r="E23" t="s">
        <v>10</v>
      </c>
      <c r="F23" s="11">
        <v>44041</v>
      </c>
      <c r="G23" s="7" t="s">
        <v>17</v>
      </c>
      <c r="H23">
        <v>48170</v>
      </c>
      <c r="I23" s="9">
        <f ca="1">(TODAY()-Staff[[#This Row],[Date Joined]])/365</f>
        <v>4.3890410958904109</v>
      </c>
      <c r="J23" t="s">
        <v>206</v>
      </c>
      <c r="K23">
        <f ca="1">ROUNDUP(IF(Staff[[#This Row],[Tenure]]&gt;2,3%*Staff[[#This Row],[Salary]],0),0)</f>
        <v>1446</v>
      </c>
      <c r="L23">
        <f>_xlfn.XLOOKUP(Staff[[#This Row],[Rating]],$O$26:$O$30,$P$26:$P$30)</f>
        <v>4</v>
      </c>
      <c r="O23" s="3" t="str">
        <f ca="1"/>
        <v>IN</v>
      </c>
    </row>
    <row r="24" spans="2:16" x14ac:dyDescent="0.35">
      <c r="B24" s="7" t="s">
        <v>78</v>
      </c>
      <c r="C24" s="7" t="s">
        <v>15</v>
      </c>
      <c r="D24">
        <v>22</v>
      </c>
      <c r="E24" t="s">
        <v>10</v>
      </c>
      <c r="F24" s="11">
        <v>44450</v>
      </c>
      <c r="G24" s="7" t="s">
        <v>12</v>
      </c>
      <c r="H24">
        <v>76900</v>
      </c>
      <c r="I24" s="9">
        <f ca="1">(TODAY()-Staff[[#This Row],[Date Joined]])/365</f>
        <v>3.2684931506849315</v>
      </c>
      <c r="J24" t="s">
        <v>206</v>
      </c>
      <c r="K24">
        <f ca="1">ROUNDUP(IF(Staff[[#This Row],[Tenure]]&gt;2,3%*Staff[[#This Row],[Salary]],0),0)</f>
        <v>2307</v>
      </c>
      <c r="L24">
        <f>_xlfn.XLOOKUP(Staff[[#This Row],[Rating]],$O$26:$O$30,$P$26:$P$30)</f>
        <v>4</v>
      </c>
    </row>
    <row r="25" spans="2:16" x14ac:dyDescent="0.35">
      <c r="B25" s="7" t="s">
        <v>83</v>
      </c>
      <c r="C25" s="7" t="s">
        <v>205</v>
      </c>
      <c r="D25">
        <v>26</v>
      </c>
      <c r="E25" t="s">
        <v>10</v>
      </c>
      <c r="F25" s="11">
        <v>44271</v>
      </c>
      <c r="G25" s="7" t="s">
        <v>23</v>
      </c>
      <c r="H25">
        <v>90700</v>
      </c>
      <c r="I25" s="9">
        <f ca="1">(TODAY()-Staff[[#This Row],[Date Joined]])/365</f>
        <v>3.7589041095890412</v>
      </c>
      <c r="J25" t="s">
        <v>206</v>
      </c>
      <c r="K25">
        <f ca="1">ROUNDUP(IF(Staff[[#This Row],[Tenure]]&gt;2,3%*Staff[[#This Row],[Salary]],0),0)</f>
        <v>2721</v>
      </c>
      <c r="L25">
        <f>_xlfn.XLOOKUP(Staff[[#This Row],[Rating]],$O$26:$O$30,$P$26:$P$30)</f>
        <v>4</v>
      </c>
    </row>
    <row r="26" spans="2:16" x14ac:dyDescent="0.35">
      <c r="B26" s="7" t="s">
        <v>84</v>
      </c>
      <c r="C26" s="7" t="s">
        <v>15</v>
      </c>
      <c r="D26">
        <v>38</v>
      </c>
      <c r="E26" t="s">
        <v>10</v>
      </c>
      <c r="F26" s="11">
        <v>44329</v>
      </c>
      <c r="G26" s="7" t="s">
        <v>9</v>
      </c>
      <c r="H26">
        <v>56870</v>
      </c>
      <c r="I26" s="9">
        <f ca="1">(TODAY()-Staff[[#This Row],[Date Joined]])/365</f>
        <v>3.6</v>
      </c>
      <c r="J26" t="s">
        <v>206</v>
      </c>
      <c r="K26">
        <f ca="1">ROUNDUP(IF(Staff[[#This Row],[Tenure]]&gt;2,3%*Staff[[#This Row],[Salary]],0),0)</f>
        <v>1707</v>
      </c>
      <c r="L26">
        <f>_xlfn.XLOOKUP(Staff[[#This Row],[Rating]],$O$26:$O$30,$P$26:$P$30)</f>
        <v>4</v>
      </c>
      <c r="O26" s="28" t="s">
        <v>43</v>
      </c>
      <c r="P26" s="29">
        <v>5</v>
      </c>
    </row>
    <row r="27" spans="2:16" x14ac:dyDescent="0.35">
      <c r="B27" s="7" t="s">
        <v>96</v>
      </c>
      <c r="C27" s="7" t="s">
        <v>8</v>
      </c>
      <c r="D27">
        <v>27</v>
      </c>
      <c r="E27" t="s">
        <v>10</v>
      </c>
      <c r="F27" s="11">
        <v>44236</v>
      </c>
      <c r="G27" s="7" t="s">
        <v>17</v>
      </c>
      <c r="H27">
        <v>91650</v>
      </c>
      <c r="I27" s="9">
        <f ca="1">(TODAY()-Staff[[#This Row],[Date Joined]])/365</f>
        <v>3.8547945205479452</v>
      </c>
      <c r="J27" t="s">
        <v>206</v>
      </c>
      <c r="K27">
        <f ca="1">ROUNDUP(IF(Staff[[#This Row],[Tenure]]&gt;2,3%*Staff[[#This Row],[Salary]],0),0)</f>
        <v>2750</v>
      </c>
      <c r="L27">
        <f>_xlfn.XLOOKUP(Staff[[#This Row],[Rating]],$O$26:$O$30,$P$26:$P$30)</f>
        <v>4</v>
      </c>
      <c r="O27" s="28" t="s">
        <v>10</v>
      </c>
      <c r="P27" s="29">
        <f>P26-1</f>
        <v>4</v>
      </c>
    </row>
    <row r="28" spans="2:16" x14ac:dyDescent="0.35">
      <c r="B28" s="7" t="s">
        <v>110</v>
      </c>
      <c r="C28" s="7" t="s">
        <v>8</v>
      </c>
      <c r="D28">
        <v>20</v>
      </c>
      <c r="E28" t="s">
        <v>13</v>
      </c>
      <c r="F28" s="11">
        <v>44122</v>
      </c>
      <c r="G28" s="7" t="s">
        <v>23</v>
      </c>
      <c r="H28">
        <v>112650</v>
      </c>
      <c r="I28" s="9">
        <f ca="1">(TODAY()-Staff[[#This Row],[Date Joined]])/365</f>
        <v>4.1671232876712327</v>
      </c>
      <c r="J28" t="s">
        <v>204</v>
      </c>
      <c r="K28">
        <f ca="1">ROUNDUP(IF(Staff[[#This Row],[Tenure]]&gt;2,3%*Staff[[#This Row],[Salary]],0),0)</f>
        <v>3380</v>
      </c>
      <c r="L28">
        <f>_xlfn.XLOOKUP(Staff[[#This Row],[Rating]],$O$26:$O$30,$P$26:$P$30)</f>
        <v>3</v>
      </c>
      <c r="O28" s="28" t="s">
        <v>13</v>
      </c>
      <c r="P28" s="29">
        <f t="shared" ref="P28:P30" si="0">P27-1</f>
        <v>3</v>
      </c>
    </row>
    <row r="29" spans="2:16" x14ac:dyDescent="0.35">
      <c r="B29" s="7" t="s">
        <v>112</v>
      </c>
      <c r="C29" s="7" t="s">
        <v>8</v>
      </c>
      <c r="D29">
        <v>31</v>
      </c>
      <c r="E29" t="s">
        <v>13</v>
      </c>
      <c r="F29" s="11">
        <v>44663</v>
      </c>
      <c r="G29" s="7" t="s">
        <v>12</v>
      </c>
      <c r="H29">
        <v>103550</v>
      </c>
      <c r="I29" s="9">
        <f ca="1">(TODAY()-Staff[[#This Row],[Date Joined]])/365</f>
        <v>2.6849315068493151</v>
      </c>
      <c r="J29" t="s">
        <v>204</v>
      </c>
      <c r="K29">
        <f ca="1">ROUNDUP(IF(Staff[[#This Row],[Tenure]]&gt;2,3%*Staff[[#This Row],[Salary]],0),0)</f>
        <v>3107</v>
      </c>
      <c r="L29">
        <f>_xlfn.XLOOKUP(Staff[[#This Row],[Rating]],$O$26:$O$30,$P$26:$P$30)</f>
        <v>3</v>
      </c>
      <c r="O29" s="28" t="s">
        <v>18</v>
      </c>
      <c r="P29" s="29">
        <f t="shared" si="0"/>
        <v>2</v>
      </c>
    </row>
    <row r="30" spans="2:16" x14ac:dyDescent="0.35">
      <c r="B30" s="7" t="s">
        <v>113</v>
      </c>
      <c r="C30" s="7" t="s">
        <v>15</v>
      </c>
      <c r="D30">
        <v>32</v>
      </c>
      <c r="E30" t="s">
        <v>13</v>
      </c>
      <c r="F30" s="11">
        <v>44339</v>
      </c>
      <c r="G30" s="7" t="s">
        <v>26</v>
      </c>
      <c r="H30">
        <v>45510</v>
      </c>
      <c r="I30" s="9">
        <f ca="1">(TODAY()-Staff[[#This Row],[Date Joined]])/365</f>
        <v>3.5726027397260274</v>
      </c>
      <c r="J30" t="s">
        <v>204</v>
      </c>
      <c r="K30">
        <f ca="1">ROUNDUP(IF(Staff[[#This Row],[Tenure]]&gt;2,3%*Staff[[#This Row],[Salary]],0),0)</f>
        <v>1366</v>
      </c>
      <c r="L30">
        <f>_xlfn.XLOOKUP(Staff[[#This Row],[Rating]],$O$26:$O$30,$P$26:$P$30)</f>
        <v>3</v>
      </c>
      <c r="O30" s="28" t="s">
        <v>49</v>
      </c>
      <c r="P30" s="29">
        <f t="shared" si="0"/>
        <v>1</v>
      </c>
    </row>
    <row r="31" spans="2:16" x14ac:dyDescent="0.35">
      <c r="B31" s="7" t="s">
        <v>116</v>
      </c>
      <c r="C31" s="7" t="s">
        <v>15</v>
      </c>
      <c r="D31">
        <v>25</v>
      </c>
      <c r="E31" t="s">
        <v>13</v>
      </c>
      <c r="F31" s="11">
        <v>44144</v>
      </c>
      <c r="G31" s="7" t="s">
        <v>9</v>
      </c>
      <c r="H31">
        <v>92700</v>
      </c>
      <c r="I31" s="9">
        <f ca="1">(TODAY()-Staff[[#This Row],[Date Joined]])/365</f>
        <v>4.1068493150684935</v>
      </c>
      <c r="J31" t="s">
        <v>204</v>
      </c>
      <c r="K31">
        <f ca="1">ROUNDUP(IF(Staff[[#This Row],[Tenure]]&gt;2,3%*Staff[[#This Row],[Salary]],0),0)</f>
        <v>2781</v>
      </c>
      <c r="L31">
        <f>_xlfn.XLOOKUP(Staff[[#This Row],[Rating]],$O$26:$O$30,$P$26:$P$30)</f>
        <v>3</v>
      </c>
    </row>
    <row r="32" spans="2:16" x14ac:dyDescent="0.35">
      <c r="B32" s="7" t="s">
        <v>117</v>
      </c>
      <c r="C32" s="7" t="s">
        <v>205</v>
      </c>
      <c r="D32">
        <v>32</v>
      </c>
      <c r="E32" t="s">
        <v>13</v>
      </c>
      <c r="F32" s="11">
        <v>44713</v>
      </c>
      <c r="G32" s="7" t="s">
        <v>23</v>
      </c>
      <c r="H32">
        <v>91310</v>
      </c>
      <c r="I32" s="9">
        <f ca="1">(TODAY()-Staff[[#This Row],[Date Joined]])/365</f>
        <v>2.547945205479452</v>
      </c>
      <c r="J32" t="s">
        <v>204</v>
      </c>
      <c r="K32">
        <f ca="1">ROUNDUP(IF(Staff[[#This Row],[Tenure]]&gt;2,3%*Staff[[#This Row],[Salary]],0),0)</f>
        <v>2740</v>
      </c>
      <c r="L32">
        <f>_xlfn.XLOOKUP(Staff[[#This Row],[Rating]],$O$26:$O$30,$P$26:$P$30)</f>
        <v>3</v>
      </c>
    </row>
    <row r="33" spans="2:12" x14ac:dyDescent="0.35">
      <c r="B33" s="7" t="s">
        <v>118</v>
      </c>
      <c r="C33" s="7" t="s">
        <v>8</v>
      </c>
      <c r="D33">
        <v>33</v>
      </c>
      <c r="E33" t="s">
        <v>13</v>
      </c>
      <c r="F33" s="11">
        <v>44324</v>
      </c>
      <c r="G33" s="7" t="s">
        <v>9</v>
      </c>
      <c r="H33">
        <v>74550</v>
      </c>
      <c r="I33" s="9">
        <f ca="1">(TODAY()-Staff[[#This Row],[Date Joined]])/365</f>
        <v>3.6136986301369864</v>
      </c>
      <c r="J33" t="s">
        <v>204</v>
      </c>
      <c r="K33">
        <f ca="1">ROUNDUP(IF(Staff[[#This Row],[Tenure]]&gt;2,3%*Staff[[#This Row],[Salary]],0),0)</f>
        <v>2237</v>
      </c>
      <c r="L33">
        <f>_xlfn.XLOOKUP(Staff[[#This Row],[Rating]],$O$26:$O$30,$P$26:$P$30)</f>
        <v>3</v>
      </c>
    </row>
    <row r="34" spans="2:12" x14ac:dyDescent="0.35">
      <c r="B34" s="7" t="s">
        <v>120</v>
      </c>
      <c r="C34" s="7" t="s">
        <v>15</v>
      </c>
      <c r="D34">
        <v>40</v>
      </c>
      <c r="E34" t="s">
        <v>13</v>
      </c>
      <c r="F34" s="11">
        <v>44320</v>
      </c>
      <c r="G34" s="7" t="s">
        <v>23</v>
      </c>
      <c r="H34">
        <v>104410</v>
      </c>
      <c r="I34" s="9">
        <f ca="1">(TODAY()-Staff[[#This Row],[Date Joined]])/365</f>
        <v>3.6246575342465754</v>
      </c>
      <c r="J34" t="s">
        <v>204</v>
      </c>
      <c r="K34">
        <f ca="1">ROUNDUP(IF(Staff[[#This Row],[Tenure]]&gt;2,3%*Staff[[#This Row],[Salary]],0),0)</f>
        <v>3133</v>
      </c>
      <c r="L34">
        <f>_xlfn.XLOOKUP(Staff[[#This Row],[Rating]],$O$26:$O$30,$P$26:$P$30)</f>
        <v>3</v>
      </c>
    </row>
    <row r="35" spans="2:12" x14ac:dyDescent="0.35">
      <c r="B35" s="7" t="s">
        <v>121</v>
      </c>
      <c r="C35" s="7" t="s">
        <v>8</v>
      </c>
      <c r="D35">
        <v>30</v>
      </c>
      <c r="E35" t="s">
        <v>13</v>
      </c>
      <c r="F35" s="11">
        <v>44544</v>
      </c>
      <c r="G35" s="7" t="s">
        <v>17</v>
      </c>
      <c r="H35">
        <v>96800</v>
      </c>
      <c r="I35" s="9">
        <f ca="1">(TODAY()-Staff[[#This Row],[Date Joined]])/365</f>
        <v>3.010958904109589</v>
      </c>
      <c r="J35" t="s">
        <v>204</v>
      </c>
      <c r="K35">
        <f ca="1">ROUNDUP(IF(Staff[[#This Row],[Tenure]]&gt;2,3%*Staff[[#This Row],[Salary]],0),0)</f>
        <v>2904</v>
      </c>
      <c r="L35">
        <f>_xlfn.XLOOKUP(Staff[[#This Row],[Rating]],$O$26:$O$30,$P$26:$P$30)</f>
        <v>3</v>
      </c>
    </row>
    <row r="36" spans="2:12" x14ac:dyDescent="0.35">
      <c r="B36" s="7" t="s">
        <v>123</v>
      </c>
      <c r="C36" s="7" t="s">
        <v>8</v>
      </c>
      <c r="D36">
        <v>21</v>
      </c>
      <c r="E36" t="s">
        <v>13</v>
      </c>
      <c r="F36" s="11">
        <v>44042</v>
      </c>
      <c r="G36" s="7" t="s">
        <v>12</v>
      </c>
      <c r="H36">
        <v>37920</v>
      </c>
      <c r="I36" s="9">
        <f ca="1">(TODAY()-Staff[[#This Row],[Date Joined]])/365</f>
        <v>4.3863013698630136</v>
      </c>
      <c r="J36" t="s">
        <v>204</v>
      </c>
      <c r="K36">
        <f ca="1">ROUNDUP(IF(Staff[[#This Row],[Tenure]]&gt;2,3%*Staff[[#This Row],[Salary]],0),0)</f>
        <v>1138</v>
      </c>
      <c r="L36">
        <f>_xlfn.XLOOKUP(Staff[[#This Row],[Rating]],$O$26:$O$30,$P$26:$P$30)</f>
        <v>3</v>
      </c>
    </row>
    <row r="37" spans="2:12" x14ac:dyDescent="0.35">
      <c r="B37" s="7" t="s">
        <v>124</v>
      </c>
      <c r="C37" s="7" t="s">
        <v>8</v>
      </c>
      <c r="D37">
        <v>34</v>
      </c>
      <c r="E37" t="s">
        <v>13</v>
      </c>
      <c r="F37" s="11">
        <v>44642</v>
      </c>
      <c r="G37" s="7" t="s">
        <v>12</v>
      </c>
      <c r="H37">
        <v>112650</v>
      </c>
      <c r="I37" s="9">
        <f ca="1">(TODAY()-Staff[[#This Row],[Date Joined]])/365</f>
        <v>2.7424657534246575</v>
      </c>
      <c r="J37" t="s">
        <v>204</v>
      </c>
      <c r="K37">
        <f ca="1">ROUNDUP(IF(Staff[[#This Row],[Tenure]]&gt;2,3%*Staff[[#This Row],[Salary]],0),0)</f>
        <v>3380</v>
      </c>
      <c r="L37">
        <f>_xlfn.XLOOKUP(Staff[[#This Row],[Rating]],$O$26:$O$30,$P$26:$P$30)</f>
        <v>3</v>
      </c>
    </row>
    <row r="38" spans="2:12" x14ac:dyDescent="0.35">
      <c r="B38" s="7" t="s">
        <v>126</v>
      </c>
      <c r="C38" s="7" t="s">
        <v>8</v>
      </c>
      <c r="D38">
        <v>36</v>
      </c>
      <c r="E38" t="s">
        <v>13</v>
      </c>
      <c r="F38" s="11">
        <v>43958</v>
      </c>
      <c r="G38" s="7" t="s">
        <v>23</v>
      </c>
      <c r="H38">
        <v>118840</v>
      </c>
      <c r="I38" s="9">
        <f ca="1">(TODAY()-Staff[[#This Row],[Date Joined]])/365</f>
        <v>4.6164383561643838</v>
      </c>
      <c r="J38" t="s">
        <v>204</v>
      </c>
      <c r="K38">
        <f ca="1">ROUNDUP(IF(Staff[[#This Row],[Tenure]]&gt;2,3%*Staff[[#This Row],[Salary]],0),0)</f>
        <v>3566</v>
      </c>
      <c r="L38">
        <f>_xlfn.XLOOKUP(Staff[[#This Row],[Rating]],$O$26:$O$30,$P$26:$P$30)</f>
        <v>3</v>
      </c>
    </row>
    <row r="39" spans="2:12" x14ac:dyDescent="0.35">
      <c r="B39" s="7" t="s">
        <v>127</v>
      </c>
      <c r="C39" s="7" t="s">
        <v>8</v>
      </c>
      <c r="D39">
        <v>30</v>
      </c>
      <c r="E39" t="s">
        <v>13</v>
      </c>
      <c r="F39" s="11">
        <v>44789</v>
      </c>
      <c r="G39" s="7" t="s">
        <v>23</v>
      </c>
      <c r="H39">
        <v>69710</v>
      </c>
      <c r="I39" s="9">
        <f ca="1">(TODAY()-Staff[[#This Row],[Date Joined]])/365</f>
        <v>2.3397260273972602</v>
      </c>
      <c r="J39" t="s">
        <v>204</v>
      </c>
      <c r="K39">
        <f ca="1">ROUNDUP(IF(Staff[[#This Row],[Tenure]]&gt;2,3%*Staff[[#This Row],[Salary]],0),0)</f>
        <v>2092</v>
      </c>
      <c r="L39">
        <f>_xlfn.XLOOKUP(Staff[[#This Row],[Rating]],$O$26:$O$30,$P$26:$P$30)</f>
        <v>3</v>
      </c>
    </row>
    <row r="40" spans="2:12" x14ac:dyDescent="0.35">
      <c r="B40" s="7" t="s">
        <v>128</v>
      </c>
      <c r="C40" s="7" t="s">
        <v>8</v>
      </c>
      <c r="D40">
        <v>20</v>
      </c>
      <c r="E40" t="s">
        <v>13</v>
      </c>
      <c r="F40" s="11">
        <v>44683</v>
      </c>
      <c r="G40" s="7" t="s">
        <v>12</v>
      </c>
      <c r="H40">
        <v>79570</v>
      </c>
      <c r="I40" s="9">
        <f ca="1">(TODAY()-Staff[[#This Row],[Date Joined]])/365</f>
        <v>2.6301369863013697</v>
      </c>
      <c r="J40" t="s">
        <v>204</v>
      </c>
      <c r="K40">
        <f ca="1">ROUNDUP(IF(Staff[[#This Row],[Tenure]]&gt;2,3%*Staff[[#This Row],[Salary]],0),0)</f>
        <v>2388</v>
      </c>
      <c r="L40">
        <f>_xlfn.XLOOKUP(Staff[[#This Row],[Rating]],$O$26:$O$30,$P$26:$P$30)</f>
        <v>3</v>
      </c>
    </row>
    <row r="41" spans="2:12" x14ac:dyDescent="0.35">
      <c r="B41" s="7" t="s">
        <v>130</v>
      </c>
      <c r="C41" s="7" t="s">
        <v>8</v>
      </c>
      <c r="D41">
        <v>27</v>
      </c>
      <c r="E41" t="s">
        <v>13</v>
      </c>
      <c r="F41" s="11">
        <v>44073</v>
      </c>
      <c r="G41" s="7" t="s">
        <v>9</v>
      </c>
      <c r="H41">
        <v>54970</v>
      </c>
      <c r="I41" s="9">
        <f ca="1">(TODAY()-Staff[[#This Row],[Date Joined]])/365</f>
        <v>4.3013698630136989</v>
      </c>
      <c r="J41" t="s">
        <v>204</v>
      </c>
      <c r="K41">
        <f ca="1">ROUNDUP(IF(Staff[[#This Row],[Tenure]]&gt;2,3%*Staff[[#This Row],[Salary]],0),0)</f>
        <v>1650</v>
      </c>
      <c r="L41">
        <f>_xlfn.XLOOKUP(Staff[[#This Row],[Rating]],$O$26:$O$30,$P$26:$P$30)</f>
        <v>3</v>
      </c>
    </row>
    <row r="42" spans="2:12" x14ac:dyDescent="0.35">
      <c r="B42" s="7" t="s">
        <v>132</v>
      </c>
      <c r="C42" s="7" t="s">
        <v>8</v>
      </c>
      <c r="D42">
        <v>43</v>
      </c>
      <c r="E42" t="s">
        <v>13</v>
      </c>
      <c r="F42" s="11">
        <v>44558</v>
      </c>
      <c r="G42" s="7" t="s">
        <v>9</v>
      </c>
      <c r="H42">
        <v>36040</v>
      </c>
      <c r="I42" s="9">
        <f ca="1">(TODAY()-Staff[[#This Row],[Date Joined]])/365</f>
        <v>2.9726027397260273</v>
      </c>
      <c r="J42" t="s">
        <v>204</v>
      </c>
      <c r="K42">
        <f ca="1">ROUNDUP(IF(Staff[[#This Row],[Tenure]]&gt;2,3%*Staff[[#This Row],[Salary]],0),0)</f>
        <v>1082</v>
      </c>
      <c r="L42">
        <f>_xlfn.XLOOKUP(Staff[[#This Row],[Rating]],$O$26:$O$30,$P$26:$P$30)</f>
        <v>3</v>
      </c>
    </row>
    <row r="43" spans="2:12" x14ac:dyDescent="0.35">
      <c r="B43" s="7" t="s">
        <v>134</v>
      </c>
      <c r="C43" s="7" t="s">
        <v>8</v>
      </c>
      <c r="D43">
        <v>35</v>
      </c>
      <c r="E43" t="s">
        <v>13</v>
      </c>
      <c r="F43" s="11">
        <v>44666</v>
      </c>
      <c r="G43" s="7" t="s">
        <v>12</v>
      </c>
      <c r="H43">
        <v>40400</v>
      </c>
      <c r="I43" s="9">
        <f ca="1">(TODAY()-Staff[[#This Row],[Date Joined]])/365</f>
        <v>2.6767123287671235</v>
      </c>
      <c r="J43" t="s">
        <v>204</v>
      </c>
      <c r="K43">
        <f ca="1">ROUNDUP(IF(Staff[[#This Row],[Tenure]]&gt;2,3%*Staff[[#This Row],[Salary]],0),0)</f>
        <v>1212</v>
      </c>
      <c r="L43">
        <f>_xlfn.XLOOKUP(Staff[[#This Row],[Rating]],$O$26:$O$30,$P$26:$P$30)</f>
        <v>3</v>
      </c>
    </row>
    <row r="44" spans="2:12" x14ac:dyDescent="0.35">
      <c r="B44" s="7" t="s">
        <v>135</v>
      </c>
      <c r="C44" s="7" t="s">
        <v>8</v>
      </c>
      <c r="D44">
        <v>24</v>
      </c>
      <c r="E44" t="s">
        <v>13</v>
      </c>
      <c r="F44" s="11">
        <v>44625</v>
      </c>
      <c r="G44" s="7" t="s">
        <v>23</v>
      </c>
      <c r="H44">
        <v>100420</v>
      </c>
      <c r="I44" s="9">
        <f ca="1">(TODAY()-Staff[[#This Row],[Date Joined]])/365</f>
        <v>2.7890410958904108</v>
      </c>
      <c r="J44" t="s">
        <v>204</v>
      </c>
      <c r="K44">
        <f ca="1">ROUNDUP(IF(Staff[[#This Row],[Tenure]]&gt;2,3%*Staff[[#This Row],[Salary]],0),0)</f>
        <v>3013</v>
      </c>
      <c r="L44">
        <f>_xlfn.XLOOKUP(Staff[[#This Row],[Rating]],$O$26:$O$30,$P$26:$P$30)</f>
        <v>3</v>
      </c>
    </row>
    <row r="45" spans="2:12" x14ac:dyDescent="0.35">
      <c r="B45" s="7" t="s">
        <v>136</v>
      </c>
      <c r="C45" s="7" t="s">
        <v>15</v>
      </c>
      <c r="D45">
        <v>31</v>
      </c>
      <c r="E45" t="s">
        <v>13</v>
      </c>
      <c r="F45" s="11">
        <v>44604</v>
      </c>
      <c r="G45" s="7" t="s">
        <v>23</v>
      </c>
      <c r="H45">
        <v>58100</v>
      </c>
      <c r="I45" s="9">
        <f ca="1">(TODAY()-Staff[[#This Row],[Date Joined]])/365</f>
        <v>2.8465753424657536</v>
      </c>
      <c r="J45" t="s">
        <v>204</v>
      </c>
      <c r="K45">
        <f ca="1">ROUNDUP(IF(Staff[[#This Row],[Tenure]]&gt;2,3%*Staff[[#This Row],[Salary]],0),0)</f>
        <v>1743</v>
      </c>
      <c r="L45">
        <f>_xlfn.XLOOKUP(Staff[[#This Row],[Rating]],$O$26:$O$30,$P$26:$P$30)</f>
        <v>3</v>
      </c>
    </row>
    <row r="46" spans="2:12" x14ac:dyDescent="0.35">
      <c r="B46" s="7" t="s">
        <v>137</v>
      </c>
      <c r="C46" s="7" t="s">
        <v>15</v>
      </c>
      <c r="D46">
        <v>44</v>
      </c>
      <c r="E46" t="s">
        <v>13</v>
      </c>
      <c r="F46" s="11">
        <v>44985</v>
      </c>
      <c r="G46" s="7" t="s">
        <v>23</v>
      </c>
      <c r="H46">
        <v>114870</v>
      </c>
      <c r="I46" s="9">
        <f ca="1">(TODAY()-Staff[[#This Row],[Date Joined]])/365</f>
        <v>1.8027397260273972</v>
      </c>
      <c r="J46" t="s">
        <v>204</v>
      </c>
      <c r="K46">
        <f ca="1">ROUNDUP(IF(Staff[[#This Row],[Tenure]]&gt;2,3%*Staff[[#This Row],[Salary]],0),0)</f>
        <v>0</v>
      </c>
      <c r="L46">
        <f>_xlfn.XLOOKUP(Staff[[#This Row],[Rating]],$O$26:$O$30,$P$26:$P$30)</f>
        <v>3</v>
      </c>
    </row>
    <row r="47" spans="2:12" x14ac:dyDescent="0.35">
      <c r="B47" s="7" t="s">
        <v>138</v>
      </c>
      <c r="C47" s="7" t="s">
        <v>15</v>
      </c>
      <c r="D47">
        <v>32</v>
      </c>
      <c r="E47" t="s">
        <v>13</v>
      </c>
      <c r="F47" s="11">
        <v>44549</v>
      </c>
      <c r="G47" s="7" t="s">
        <v>12</v>
      </c>
      <c r="H47">
        <v>41570</v>
      </c>
      <c r="I47" s="9">
        <f ca="1">(TODAY()-Staff[[#This Row],[Date Joined]])/365</f>
        <v>2.9972602739726026</v>
      </c>
      <c r="J47" t="s">
        <v>204</v>
      </c>
      <c r="K47">
        <f ca="1">ROUNDUP(IF(Staff[[#This Row],[Tenure]]&gt;2,3%*Staff[[#This Row],[Salary]],0),0)</f>
        <v>1248</v>
      </c>
      <c r="L47">
        <f>_xlfn.XLOOKUP(Staff[[#This Row],[Rating]],$O$26:$O$30,$P$26:$P$30)</f>
        <v>3</v>
      </c>
    </row>
    <row r="48" spans="2:12" x14ac:dyDescent="0.35">
      <c r="B48" s="7" t="s">
        <v>139</v>
      </c>
      <c r="C48" s="7" t="s">
        <v>15</v>
      </c>
      <c r="D48">
        <v>30</v>
      </c>
      <c r="E48" t="s">
        <v>13</v>
      </c>
      <c r="F48" s="11">
        <v>44800</v>
      </c>
      <c r="G48" s="7" t="s">
        <v>12</v>
      </c>
      <c r="H48">
        <v>112570</v>
      </c>
      <c r="I48" s="9">
        <f ca="1">(TODAY()-Staff[[#This Row],[Date Joined]])/365</f>
        <v>2.3095890410958906</v>
      </c>
      <c r="J48" t="s">
        <v>204</v>
      </c>
      <c r="K48">
        <f ca="1">ROUNDUP(IF(Staff[[#This Row],[Tenure]]&gt;2,3%*Staff[[#This Row],[Salary]],0),0)</f>
        <v>3378</v>
      </c>
      <c r="L48">
        <f>_xlfn.XLOOKUP(Staff[[#This Row],[Rating]],$O$26:$O$30,$P$26:$P$30)</f>
        <v>3</v>
      </c>
    </row>
    <row r="49" spans="2:12" x14ac:dyDescent="0.35">
      <c r="B49" s="7" t="s">
        <v>140</v>
      </c>
      <c r="C49" s="7" t="s">
        <v>8</v>
      </c>
      <c r="D49">
        <v>26</v>
      </c>
      <c r="E49" t="s">
        <v>13</v>
      </c>
      <c r="F49" s="11">
        <v>44164</v>
      </c>
      <c r="G49" s="7" t="s">
        <v>12</v>
      </c>
      <c r="H49">
        <v>47360</v>
      </c>
      <c r="I49" s="9">
        <f ca="1">(TODAY()-Staff[[#This Row],[Date Joined]])/365</f>
        <v>4.0520547945205481</v>
      </c>
      <c r="J49" t="s">
        <v>204</v>
      </c>
      <c r="K49">
        <f ca="1">ROUNDUP(IF(Staff[[#This Row],[Tenure]]&gt;2,3%*Staff[[#This Row],[Salary]],0),0)</f>
        <v>1421</v>
      </c>
      <c r="L49">
        <f>_xlfn.XLOOKUP(Staff[[#This Row],[Rating]],$O$26:$O$30,$P$26:$P$30)</f>
        <v>3</v>
      </c>
    </row>
    <row r="50" spans="2:12" x14ac:dyDescent="0.35">
      <c r="B50" s="7" t="s">
        <v>141</v>
      </c>
      <c r="C50" s="7" t="s">
        <v>15</v>
      </c>
      <c r="D50">
        <v>21</v>
      </c>
      <c r="E50" t="s">
        <v>13</v>
      </c>
      <c r="F50" s="11">
        <v>44256</v>
      </c>
      <c r="G50" s="7" t="s">
        <v>17</v>
      </c>
      <c r="H50">
        <v>65920</v>
      </c>
      <c r="I50" s="9">
        <f ca="1">(TODAY()-Staff[[#This Row],[Date Joined]])/365</f>
        <v>3.8</v>
      </c>
      <c r="J50" t="s">
        <v>204</v>
      </c>
      <c r="K50">
        <f ca="1">ROUNDUP(IF(Staff[[#This Row],[Tenure]]&gt;2,3%*Staff[[#This Row],[Salary]],0),0)</f>
        <v>1978</v>
      </c>
      <c r="L50">
        <f>_xlfn.XLOOKUP(Staff[[#This Row],[Rating]],$O$26:$O$30,$P$26:$P$30)</f>
        <v>3</v>
      </c>
    </row>
    <row r="51" spans="2:12" x14ac:dyDescent="0.35">
      <c r="B51" s="7" t="s">
        <v>142</v>
      </c>
      <c r="C51" s="7" t="s">
        <v>15</v>
      </c>
      <c r="D51">
        <v>28</v>
      </c>
      <c r="E51" t="s">
        <v>13</v>
      </c>
      <c r="F51" s="11">
        <v>44571</v>
      </c>
      <c r="G51" s="7" t="s">
        <v>12</v>
      </c>
      <c r="H51">
        <v>99970</v>
      </c>
      <c r="I51" s="9">
        <f ca="1">(TODAY()-Staff[[#This Row],[Date Joined]])/365</f>
        <v>2.9369863013698629</v>
      </c>
      <c r="J51" t="s">
        <v>204</v>
      </c>
      <c r="K51">
        <f ca="1">ROUNDUP(IF(Staff[[#This Row],[Tenure]]&gt;2,3%*Staff[[#This Row],[Salary]],0),0)</f>
        <v>3000</v>
      </c>
      <c r="L51">
        <f>_xlfn.XLOOKUP(Staff[[#This Row],[Rating]],$O$26:$O$30,$P$26:$P$30)</f>
        <v>3</v>
      </c>
    </row>
    <row r="52" spans="2:12" x14ac:dyDescent="0.35">
      <c r="B52" s="7" t="s">
        <v>146</v>
      </c>
      <c r="C52" s="7" t="s">
        <v>15</v>
      </c>
      <c r="D52">
        <v>27</v>
      </c>
      <c r="E52" t="s">
        <v>13</v>
      </c>
      <c r="F52" s="11">
        <v>44061</v>
      </c>
      <c r="G52" s="7" t="s">
        <v>26</v>
      </c>
      <c r="H52">
        <v>119110</v>
      </c>
      <c r="I52" s="9">
        <f ca="1">(TODAY()-Staff[[#This Row],[Date Joined]])/365</f>
        <v>4.3342465753424655</v>
      </c>
      <c r="J52" t="s">
        <v>204</v>
      </c>
      <c r="K52">
        <f ca="1">ROUNDUP(IF(Staff[[#This Row],[Tenure]]&gt;2,3%*Staff[[#This Row],[Salary]],0),0)</f>
        <v>3574</v>
      </c>
      <c r="L52">
        <f>_xlfn.XLOOKUP(Staff[[#This Row],[Rating]],$O$26:$O$30,$P$26:$P$30)</f>
        <v>3</v>
      </c>
    </row>
    <row r="53" spans="2:12" x14ac:dyDescent="0.35">
      <c r="B53" s="7" t="s">
        <v>148</v>
      </c>
      <c r="C53" s="7" t="s">
        <v>15</v>
      </c>
      <c r="D53">
        <v>36</v>
      </c>
      <c r="E53" t="s">
        <v>13</v>
      </c>
      <c r="F53" s="11">
        <v>44023</v>
      </c>
      <c r="G53" s="7" t="s">
        <v>12</v>
      </c>
      <c r="H53">
        <v>114890</v>
      </c>
      <c r="I53" s="9">
        <f ca="1">(TODAY()-Staff[[#This Row],[Date Joined]])/365</f>
        <v>4.4383561643835616</v>
      </c>
      <c r="J53" t="s">
        <v>204</v>
      </c>
      <c r="K53">
        <f ca="1">ROUNDUP(IF(Staff[[#This Row],[Tenure]]&gt;2,3%*Staff[[#This Row],[Salary]],0),0)</f>
        <v>3447</v>
      </c>
      <c r="L53">
        <f>_xlfn.XLOOKUP(Staff[[#This Row],[Rating]],$O$26:$O$30,$P$26:$P$30)</f>
        <v>3</v>
      </c>
    </row>
    <row r="54" spans="2:12" x14ac:dyDescent="0.35">
      <c r="B54" s="7" t="s">
        <v>149</v>
      </c>
      <c r="C54" s="7" t="s">
        <v>8</v>
      </c>
      <c r="D54">
        <v>27</v>
      </c>
      <c r="E54" t="s">
        <v>13</v>
      </c>
      <c r="F54" s="11">
        <v>44506</v>
      </c>
      <c r="G54" s="7" t="s">
        <v>17</v>
      </c>
      <c r="H54">
        <v>48980</v>
      </c>
      <c r="I54" s="9">
        <f ca="1">(TODAY()-Staff[[#This Row],[Date Joined]])/365</f>
        <v>3.1150684931506851</v>
      </c>
      <c r="J54" t="s">
        <v>204</v>
      </c>
      <c r="K54">
        <f ca="1">ROUNDUP(IF(Staff[[#This Row],[Tenure]]&gt;2,3%*Staff[[#This Row],[Salary]],0),0)</f>
        <v>1470</v>
      </c>
      <c r="L54">
        <f>_xlfn.XLOOKUP(Staff[[#This Row],[Rating]],$O$26:$O$30,$P$26:$P$30)</f>
        <v>3</v>
      </c>
    </row>
    <row r="55" spans="2:12" x14ac:dyDescent="0.35">
      <c r="B55" s="7" t="s">
        <v>150</v>
      </c>
      <c r="C55" s="7" t="s">
        <v>8</v>
      </c>
      <c r="D55">
        <v>21</v>
      </c>
      <c r="E55" t="s">
        <v>13</v>
      </c>
      <c r="F55" s="11">
        <v>44180</v>
      </c>
      <c r="G55" s="7" t="s">
        <v>26</v>
      </c>
      <c r="H55">
        <v>75880</v>
      </c>
      <c r="I55" s="9">
        <f ca="1">(TODAY()-Staff[[#This Row],[Date Joined]])/365</f>
        <v>4.0082191780821921</v>
      </c>
      <c r="J55" t="s">
        <v>204</v>
      </c>
      <c r="K55">
        <f ca="1">ROUNDUP(IF(Staff[[#This Row],[Tenure]]&gt;2,3%*Staff[[#This Row],[Salary]],0),0)</f>
        <v>2277</v>
      </c>
      <c r="L55">
        <f>_xlfn.XLOOKUP(Staff[[#This Row],[Rating]],$O$26:$O$30,$P$26:$P$30)</f>
        <v>3</v>
      </c>
    </row>
    <row r="56" spans="2:12" x14ac:dyDescent="0.35">
      <c r="B56" s="7" t="s">
        <v>151</v>
      </c>
      <c r="C56" s="7" t="s">
        <v>15</v>
      </c>
      <c r="D56">
        <v>28</v>
      </c>
      <c r="E56" t="s">
        <v>13</v>
      </c>
      <c r="F56" s="11">
        <v>44296</v>
      </c>
      <c r="G56" s="7" t="s">
        <v>9</v>
      </c>
      <c r="H56">
        <v>53240</v>
      </c>
      <c r="I56" s="9">
        <f ca="1">(TODAY()-Staff[[#This Row],[Date Joined]])/365</f>
        <v>3.6904109589041094</v>
      </c>
      <c r="J56" t="s">
        <v>204</v>
      </c>
      <c r="K56">
        <f ca="1">ROUNDUP(IF(Staff[[#This Row],[Tenure]]&gt;2,3%*Staff[[#This Row],[Salary]],0),0)</f>
        <v>1598</v>
      </c>
      <c r="L56">
        <f>_xlfn.XLOOKUP(Staff[[#This Row],[Rating]],$O$26:$O$30,$P$26:$P$30)</f>
        <v>3</v>
      </c>
    </row>
    <row r="57" spans="2:12" x14ac:dyDescent="0.35">
      <c r="B57" s="7" t="s">
        <v>152</v>
      </c>
      <c r="C57" s="7" t="s">
        <v>15</v>
      </c>
      <c r="D57">
        <v>34</v>
      </c>
      <c r="E57" t="s">
        <v>13</v>
      </c>
      <c r="F57" s="11">
        <v>44397</v>
      </c>
      <c r="G57" s="7" t="s">
        <v>17</v>
      </c>
      <c r="H57">
        <v>85000</v>
      </c>
      <c r="I57" s="9">
        <f ca="1">(TODAY()-Staff[[#This Row],[Date Joined]])/365</f>
        <v>3.4136986301369863</v>
      </c>
      <c r="J57" t="s">
        <v>204</v>
      </c>
      <c r="K57">
        <f ca="1">ROUNDUP(IF(Staff[[#This Row],[Tenure]]&gt;2,3%*Staff[[#This Row],[Salary]],0),0)</f>
        <v>2550</v>
      </c>
      <c r="L57">
        <f>_xlfn.XLOOKUP(Staff[[#This Row],[Rating]],$O$26:$O$30,$P$26:$P$30)</f>
        <v>3</v>
      </c>
    </row>
    <row r="58" spans="2:12" x14ac:dyDescent="0.35">
      <c r="B58" s="7" t="s">
        <v>153</v>
      </c>
      <c r="C58" s="7" t="s">
        <v>15</v>
      </c>
      <c r="D58">
        <v>21</v>
      </c>
      <c r="E58" t="s">
        <v>13</v>
      </c>
      <c r="F58" s="11">
        <v>44619</v>
      </c>
      <c r="G58" s="7" t="s">
        <v>23</v>
      </c>
      <c r="H58">
        <v>33920</v>
      </c>
      <c r="I58" s="9">
        <f ca="1">(TODAY()-Staff[[#This Row],[Date Joined]])/365</f>
        <v>2.8054794520547945</v>
      </c>
      <c r="J58" t="s">
        <v>204</v>
      </c>
      <c r="K58">
        <f ca="1">ROUNDUP(IF(Staff[[#This Row],[Tenure]]&gt;2,3%*Staff[[#This Row],[Salary]],0),0)</f>
        <v>1018</v>
      </c>
      <c r="L58">
        <f>_xlfn.XLOOKUP(Staff[[#This Row],[Rating]],$O$26:$O$30,$P$26:$P$30)</f>
        <v>3</v>
      </c>
    </row>
    <row r="59" spans="2:12" x14ac:dyDescent="0.35">
      <c r="B59" s="7" t="s">
        <v>154</v>
      </c>
      <c r="C59" s="7" t="s">
        <v>15</v>
      </c>
      <c r="D59">
        <v>33</v>
      </c>
      <c r="E59" t="s">
        <v>13</v>
      </c>
      <c r="F59" s="11">
        <v>44253</v>
      </c>
      <c r="G59" s="7" t="s">
        <v>23</v>
      </c>
      <c r="H59">
        <v>75280</v>
      </c>
      <c r="I59" s="9">
        <f ca="1">(TODAY()-Staff[[#This Row],[Date Joined]])/365</f>
        <v>3.8082191780821919</v>
      </c>
      <c r="J59" t="s">
        <v>204</v>
      </c>
      <c r="K59">
        <f ca="1">ROUNDUP(IF(Staff[[#This Row],[Tenure]]&gt;2,3%*Staff[[#This Row],[Salary]],0),0)</f>
        <v>2259</v>
      </c>
      <c r="L59">
        <f>_xlfn.XLOOKUP(Staff[[#This Row],[Rating]],$O$26:$O$30,$P$26:$P$30)</f>
        <v>3</v>
      </c>
    </row>
    <row r="60" spans="2:12" x14ac:dyDescent="0.35">
      <c r="B60" s="7" t="s">
        <v>155</v>
      </c>
      <c r="C60" s="7" t="s">
        <v>15</v>
      </c>
      <c r="D60">
        <v>34</v>
      </c>
      <c r="E60" t="s">
        <v>13</v>
      </c>
      <c r="F60" s="11">
        <v>44594</v>
      </c>
      <c r="G60" s="7" t="s">
        <v>17</v>
      </c>
      <c r="H60">
        <v>58940</v>
      </c>
      <c r="I60" s="9">
        <f ca="1">(TODAY()-Staff[[#This Row],[Date Joined]])/365</f>
        <v>2.8739726027397259</v>
      </c>
      <c r="J60" t="s">
        <v>204</v>
      </c>
      <c r="K60">
        <f ca="1">ROUNDUP(IF(Staff[[#This Row],[Tenure]]&gt;2,3%*Staff[[#This Row],[Salary]],0),0)</f>
        <v>1769</v>
      </c>
      <c r="L60">
        <f>_xlfn.XLOOKUP(Staff[[#This Row],[Rating]],$O$26:$O$30,$P$26:$P$30)</f>
        <v>3</v>
      </c>
    </row>
    <row r="61" spans="2:12" x14ac:dyDescent="0.35">
      <c r="B61" s="7" t="s">
        <v>156</v>
      </c>
      <c r="C61" s="7" t="s">
        <v>15</v>
      </c>
      <c r="D61">
        <v>28</v>
      </c>
      <c r="E61" t="s">
        <v>13</v>
      </c>
      <c r="F61" s="11">
        <v>44425</v>
      </c>
      <c r="G61" s="7" t="s">
        <v>12</v>
      </c>
      <c r="H61">
        <v>104770</v>
      </c>
      <c r="I61" s="9">
        <f ca="1">(TODAY()-Staff[[#This Row],[Date Joined]])/365</f>
        <v>3.3369863013698629</v>
      </c>
      <c r="J61" t="s">
        <v>204</v>
      </c>
      <c r="K61">
        <f ca="1">ROUNDUP(IF(Staff[[#This Row],[Tenure]]&gt;2,3%*Staff[[#This Row],[Salary]],0),0)</f>
        <v>3144</v>
      </c>
      <c r="L61">
        <f>_xlfn.XLOOKUP(Staff[[#This Row],[Rating]],$O$26:$O$30,$P$26:$P$30)</f>
        <v>3</v>
      </c>
    </row>
    <row r="62" spans="2:12" x14ac:dyDescent="0.35">
      <c r="B62" s="7" t="s">
        <v>157</v>
      </c>
      <c r="C62" s="7" t="s">
        <v>8</v>
      </c>
      <c r="D62">
        <v>21</v>
      </c>
      <c r="E62" t="s">
        <v>13</v>
      </c>
      <c r="F62" s="11">
        <v>44701</v>
      </c>
      <c r="G62" s="7" t="s">
        <v>12</v>
      </c>
      <c r="H62">
        <v>57090</v>
      </c>
      <c r="I62" s="9">
        <f ca="1">(TODAY()-Staff[[#This Row],[Date Joined]])/365</f>
        <v>2.580821917808219</v>
      </c>
      <c r="J62" t="s">
        <v>204</v>
      </c>
      <c r="K62">
        <f ca="1">ROUNDUP(IF(Staff[[#This Row],[Tenure]]&gt;2,3%*Staff[[#This Row],[Salary]],0),0)</f>
        <v>1713</v>
      </c>
      <c r="L62">
        <f>_xlfn.XLOOKUP(Staff[[#This Row],[Rating]],$O$26:$O$30,$P$26:$P$30)</f>
        <v>3</v>
      </c>
    </row>
    <row r="63" spans="2:12" x14ac:dyDescent="0.35">
      <c r="B63" s="7" t="s">
        <v>160</v>
      </c>
      <c r="C63" s="7" t="s">
        <v>15</v>
      </c>
      <c r="D63">
        <v>28</v>
      </c>
      <c r="E63" t="s">
        <v>13</v>
      </c>
      <c r="F63" s="11">
        <v>44124</v>
      </c>
      <c r="G63" s="7" t="s">
        <v>17</v>
      </c>
      <c r="H63">
        <v>75970</v>
      </c>
      <c r="I63" s="9">
        <f ca="1">(TODAY()-Staff[[#This Row],[Date Joined]])/365</f>
        <v>4.161643835616438</v>
      </c>
      <c r="J63" t="s">
        <v>204</v>
      </c>
      <c r="K63">
        <f ca="1">ROUNDUP(IF(Staff[[#This Row],[Tenure]]&gt;2,3%*Staff[[#This Row],[Salary]],0),0)</f>
        <v>2280</v>
      </c>
      <c r="L63">
        <f>_xlfn.XLOOKUP(Staff[[#This Row],[Rating]],$O$26:$O$30,$P$26:$P$30)</f>
        <v>3</v>
      </c>
    </row>
    <row r="64" spans="2:12" x14ac:dyDescent="0.35">
      <c r="B64" s="7" t="s">
        <v>162</v>
      </c>
      <c r="C64" s="7" t="s">
        <v>8</v>
      </c>
      <c r="D64">
        <v>30</v>
      </c>
      <c r="E64" t="s">
        <v>13</v>
      </c>
      <c r="F64" s="11">
        <v>44607</v>
      </c>
      <c r="G64" s="7" t="s">
        <v>12</v>
      </c>
      <c r="H64">
        <v>60570</v>
      </c>
      <c r="I64" s="9">
        <f ca="1">(TODAY()-Staff[[#This Row],[Date Joined]])/365</f>
        <v>2.8383561643835615</v>
      </c>
      <c r="J64" t="s">
        <v>204</v>
      </c>
      <c r="K64">
        <f ca="1">ROUNDUP(IF(Staff[[#This Row],[Tenure]]&gt;2,3%*Staff[[#This Row],[Salary]],0),0)</f>
        <v>1818</v>
      </c>
      <c r="L64">
        <f>_xlfn.XLOOKUP(Staff[[#This Row],[Rating]],$O$26:$O$30,$P$26:$P$30)</f>
        <v>3</v>
      </c>
    </row>
    <row r="65" spans="2:12" x14ac:dyDescent="0.35">
      <c r="B65" s="7" t="s">
        <v>163</v>
      </c>
      <c r="C65" s="7" t="s">
        <v>8</v>
      </c>
      <c r="D65">
        <v>33</v>
      </c>
      <c r="E65" t="s">
        <v>13</v>
      </c>
      <c r="F65" s="11">
        <v>44103</v>
      </c>
      <c r="G65" s="7" t="s">
        <v>12</v>
      </c>
      <c r="H65">
        <v>115920</v>
      </c>
      <c r="I65" s="9">
        <f ca="1">(TODAY()-Staff[[#This Row],[Date Joined]])/365</f>
        <v>4.2191780821917808</v>
      </c>
      <c r="J65" t="s">
        <v>204</v>
      </c>
      <c r="K65">
        <f ca="1">ROUNDUP(IF(Staff[[#This Row],[Tenure]]&gt;2,3%*Staff[[#This Row],[Salary]],0),0)</f>
        <v>3478</v>
      </c>
      <c r="L65">
        <f>_xlfn.XLOOKUP(Staff[[#This Row],[Rating]],$O$26:$O$30,$P$26:$P$30)</f>
        <v>3</v>
      </c>
    </row>
    <row r="66" spans="2:12" x14ac:dyDescent="0.35">
      <c r="B66" s="7" t="s">
        <v>164</v>
      </c>
      <c r="C66" s="7" t="s">
        <v>15</v>
      </c>
      <c r="D66">
        <v>33</v>
      </c>
      <c r="E66" t="s">
        <v>13</v>
      </c>
      <c r="F66" s="11">
        <v>44006</v>
      </c>
      <c r="G66" s="7" t="s">
        <v>17</v>
      </c>
      <c r="H66">
        <v>65360</v>
      </c>
      <c r="I66" s="9">
        <f ca="1">(TODAY()-Staff[[#This Row],[Date Joined]])/365</f>
        <v>4.484931506849315</v>
      </c>
      <c r="J66" t="s">
        <v>204</v>
      </c>
      <c r="K66">
        <f ca="1">ROUNDUP(IF(Staff[[#This Row],[Tenure]]&gt;2,3%*Staff[[#This Row],[Salary]],0),0)</f>
        <v>1961</v>
      </c>
      <c r="L66">
        <f>_xlfn.XLOOKUP(Staff[[#This Row],[Rating]],$O$26:$O$30,$P$26:$P$30)</f>
        <v>3</v>
      </c>
    </row>
    <row r="67" spans="2:12" x14ac:dyDescent="0.35">
      <c r="B67" s="7" t="s">
        <v>165</v>
      </c>
      <c r="C67" s="7" t="s">
        <v>205</v>
      </c>
      <c r="D67">
        <v>30</v>
      </c>
      <c r="E67" t="s">
        <v>13</v>
      </c>
      <c r="F67" s="11">
        <v>44535</v>
      </c>
      <c r="G67" s="7" t="s">
        <v>17</v>
      </c>
      <c r="H67">
        <v>64000</v>
      </c>
      <c r="I67" s="9">
        <f ca="1">(TODAY()-Staff[[#This Row],[Date Joined]])/365</f>
        <v>3.0356164383561643</v>
      </c>
      <c r="J67" t="s">
        <v>204</v>
      </c>
      <c r="K67">
        <f ca="1">ROUNDUP(IF(Staff[[#This Row],[Tenure]]&gt;2,3%*Staff[[#This Row],[Salary]],0),0)</f>
        <v>1920</v>
      </c>
      <c r="L67">
        <f>_xlfn.XLOOKUP(Staff[[#This Row],[Rating]],$O$26:$O$30,$P$26:$P$30)</f>
        <v>3</v>
      </c>
    </row>
    <row r="68" spans="2:12" x14ac:dyDescent="0.35">
      <c r="B68" s="7" t="s">
        <v>166</v>
      </c>
      <c r="C68" s="7" t="s">
        <v>15</v>
      </c>
      <c r="D68">
        <v>34</v>
      </c>
      <c r="E68" t="s">
        <v>13</v>
      </c>
      <c r="F68" s="11">
        <v>44383</v>
      </c>
      <c r="G68" s="7" t="s">
        <v>17</v>
      </c>
      <c r="H68">
        <v>92450</v>
      </c>
      <c r="I68" s="9">
        <f ca="1">(TODAY()-Staff[[#This Row],[Date Joined]])/365</f>
        <v>3.452054794520548</v>
      </c>
      <c r="J68" t="s">
        <v>204</v>
      </c>
      <c r="K68">
        <f ca="1">ROUNDUP(IF(Staff[[#This Row],[Tenure]]&gt;2,3%*Staff[[#This Row],[Salary]],0),0)</f>
        <v>2774</v>
      </c>
      <c r="L68">
        <f>_xlfn.XLOOKUP(Staff[[#This Row],[Rating]],$O$26:$O$30,$P$26:$P$30)</f>
        <v>3</v>
      </c>
    </row>
    <row r="69" spans="2:12" x14ac:dyDescent="0.35">
      <c r="B69" s="7" t="s">
        <v>167</v>
      </c>
      <c r="C69" s="7" t="s">
        <v>8</v>
      </c>
      <c r="D69">
        <v>31</v>
      </c>
      <c r="E69" t="s">
        <v>13</v>
      </c>
      <c r="F69" s="11">
        <v>44450</v>
      </c>
      <c r="G69" s="7" t="s">
        <v>23</v>
      </c>
      <c r="H69">
        <v>48950</v>
      </c>
      <c r="I69" s="9">
        <f ca="1">(TODAY()-Staff[[#This Row],[Date Joined]])/365</f>
        <v>3.2684931506849315</v>
      </c>
      <c r="J69" t="s">
        <v>204</v>
      </c>
      <c r="K69">
        <f ca="1">ROUNDUP(IF(Staff[[#This Row],[Tenure]]&gt;2,3%*Staff[[#This Row],[Salary]],0),0)</f>
        <v>1469</v>
      </c>
      <c r="L69">
        <f>_xlfn.XLOOKUP(Staff[[#This Row],[Rating]],$O$26:$O$30,$P$26:$P$30)</f>
        <v>3</v>
      </c>
    </row>
    <row r="70" spans="2:12" x14ac:dyDescent="0.35">
      <c r="B70" s="7" t="s">
        <v>168</v>
      </c>
      <c r="C70" s="7" t="s">
        <v>15</v>
      </c>
      <c r="D70">
        <v>27</v>
      </c>
      <c r="E70" t="s">
        <v>13</v>
      </c>
      <c r="F70" s="11">
        <v>44625</v>
      </c>
      <c r="G70" s="7" t="s">
        <v>23</v>
      </c>
      <c r="H70">
        <v>83750</v>
      </c>
      <c r="I70" s="9">
        <f ca="1">(TODAY()-Staff[[#This Row],[Date Joined]])/365</f>
        <v>2.7890410958904108</v>
      </c>
      <c r="J70" t="s">
        <v>204</v>
      </c>
      <c r="K70">
        <f ca="1">ROUNDUP(IF(Staff[[#This Row],[Tenure]]&gt;2,3%*Staff[[#This Row],[Salary]],0),0)</f>
        <v>2513</v>
      </c>
      <c r="L70">
        <f>_xlfn.XLOOKUP(Staff[[#This Row],[Rating]],$O$26:$O$30,$P$26:$P$30)</f>
        <v>3</v>
      </c>
    </row>
    <row r="71" spans="2:12" x14ac:dyDescent="0.35">
      <c r="B71" s="7" t="s">
        <v>169</v>
      </c>
      <c r="C71" s="7" t="s">
        <v>15</v>
      </c>
      <c r="D71">
        <v>40</v>
      </c>
      <c r="E71" t="s">
        <v>13</v>
      </c>
      <c r="F71" s="11">
        <v>44276</v>
      </c>
      <c r="G71" s="7" t="s">
        <v>23</v>
      </c>
      <c r="H71">
        <v>87620</v>
      </c>
      <c r="I71" s="9">
        <f ca="1">(TODAY()-Staff[[#This Row],[Date Joined]])/365</f>
        <v>3.7452054794520548</v>
      </c>
      <c r="J71" t="s">
        <v>204</v>
      </c>
      <c r="K71">
        <f ca="1">ROUNDUP(IF(Staff[[#This Row],[Tenure]]&gt;2,3%*Staff[[#This Row],[Salary]],0),0)</f>
        <v>2629</v>
      </c>
      <c r="L71">
        <f>_xlfn.XLOOKUP(Staff[[#This Row],[Rating]],$O$26:$O$30,$P$26:$P$30)</f>
        <v>3</v>
      </c>
    </row>
    <row r="72" spans="2:12" x14ac:dyDescent="0.35">
      <c r="B72" s="7" t="s">
        <v>171</v>
      </c>
      <c r="C72" s="7" t="s">
        <v>8</v>
      </c>
      <c r="D72">
        <v>32</v>
      </c>
      <c r="E72" t="s">
        <v>13</v>
      </c>
      <c r="F72" s="11">
        <v>44403</v>
      </c>
      <c r="G72" s="7" t="s">
        <v>9</v>
      </c>
      <c r="H72">
        <v>53540</v>
      </c>
      <c r="I72" s="9">
        <f ca="1">(TODAY()-Staff[[#This Row],[Date Joined]])/365</f>
        <v>3.3972602739726026</v>
      </c>
      <c r="J72" t="s">
        <v>204</v>
      </c>
      <c r="K72">
        <f ca="1">ROUNDUP(IF(Staff[[#This Row],[Tenure]]&gt;2,3%*Staff[[#This Row],[Salary]],0),0)</f>
        <v>1607</v>
      </c>
      <c r="L72">
        <f>_xlfn.XLOOKUP(Staff[[#This Row],[Rating]],$O$26:$O$30,$P$26:$P$30)</f>
        <v>3</v>
      </c>
    </row>
    <row r="73" spans="2:12" x14ac:dyDescent="0.35">
      <c r="B73" s="7" t="s">
        <v>174</v>
      </c>
      <c r="C73" s="7" t="s">
        <v>8</v>
      </c>
      <c r="D73">
        <v>40</v>
      </c>
      <c r="E73" t="s">
        <v>13</v>
      </c>
      <c r="F73" s="11">
        <v>44204</v>
      </c>
      <c r="G73" s="7" t="s">
        <v>12</v>
      </c>
      <c r="H73">
        <v>99750</v>
      </c>
      <c r="I73" s="9">
        <f ca="1">(TODAY()-Staff[[#This Row],[Date Joined]])/365</f>
        <v>3.9424657534246577</v>
      </c>
      <c r="J73" t="s">
        <v>204</v>
      </c>
      <c r="K73">
        <f ca="1">ROUNDUP(IF(Staff[[#This Row],[Tenure]]&gt;2,3%*Staff[[#This Row],[Salary]],0),0)</f>
        <v>2993</v>
      </c>
      <c r="L73">
        <f>_xlfn.XLOOKUP(Staff[[#This Row],[Rating]],$O$26:$O$30,$P$26:$P$30)</f>
        <v>3</v>
      </c>
    </row>
    <row r="74" spans="2:12" x14ac:dyDescent="0.35">
      <c r="B74" s="7" t="s">
        <v>175</v>
      </c>
      <c r="C74" s="7" t="s">
        <v>15</v>
      </c>
      <c r="D74">
        <v>31</v>
      </c>
      <c r="E74" t="s">
        <v>13</v>
      </c>
      <c r="F74" s="11">
        <v>44084</v>
      </c>
      <c r="G74" s="7" t="s">
        <v>23</v>
      </c>
      <c r="H74">
        <v>41980</v>
      </c>
      <c r="I74" s="9">
        <f ca="1">(TODAY()-Staff[[#This Row],[Date Joined]])/365</f>
        <v>4.2712328767123289</v>
      </c>
      <c r="J74" t="s">
        <v>204</v>
      </c>
      <c r="K74">
        <f ca="1">ROUNDUP(IF(Staff[[#This Row],[Tenure]]&gt;2,3%*Staff[[#This Row],[Salary]],0),0)</f>
        <v>1260</v>
      </c>
      <c r="L74">
        <f>_xlfn.XLOOKUP(Staff[[#This Row],[Rating]],$O$26:$O$30,$P$26:$P$30)</f>
        <v>3</v>
      </c>
    </row>
    <row r="75" spans="2:12" x14ac:dyDescent="0.35">
      <c r="B75" s="7" t="s">
        <v>176</v>
      </c>
      <c r="C75" s="7" t="s">
        <v>8</v>
      </c>
      <c r="D75">
        <v>36</v>
      </c>
      <c r="E75" t="s">
        <v>13</v>
      </c>
      <c r="F75" s="11">
        <v>44272</v>
      </c>
      <c r="G75" s="7" t="s">
        <v>17</v>
      </c>
      <c r="H75">
        <v>71380</v>
      </c>
      <c r="I75" s="9">
        <f ca="1">(TODAY()-Staff[[#This Row],[Date Joined]])/365</f>
        <v>3.7561643835616438</v>
      </c>
      <c r="J75" t="s">
        <v>204</v>
      </c>
      <c r="K75">
        <f ca="1">ROUNDUP(IF(Staff[[#This Row],[Tenure]]&gt;2,3%*Staff[[#This Row],[Salary]],0),0)</f>
        <v>2142</v>
      </c>
      <c r="L75">
        <f>_xlfn.XLOOKUP(Staff[[#This Row],[Rating]],$O$26:$O$30,$P$26:$P$30)</f>
        <v>3</v>
      </c>
    </row>
    <row r="76" spans="2:12" x14ac:dyDescent="0.35">
      <c r="B76" s="7" t="s">
        <v>178</v>
      </c>
      <c r="C76" s="7" t="s">
        <v>15</v>
      </c>
      <c r="D76">
        <v>33</v>
      </c>
      <c r="E76" t="s">
        <v>13</v>
      </c>
      <c r="F76" s="11">
        <v>44747</v>
      </c>
      <c r="G76" s="7" t="s">
        <v>17</v>
      </c>
      <c r="H76">
        <v>86570</v>
      </c>
      <c r="I76" s="9">
        <f ca="1">(TODAY()-Staff[[#This Row],[Date Joined]])/365</f>
        <v>2.4547945205479453</v>
      </c>
      <c r="J76" t="s">
        <v>204</v>
      </c>
      <c r="K76">
        <f ca="1">ROUNDUP(IF(Staff[[#This Row],[Tenure]]&gt;2,3%*Staff[[#This Row],[Salary]],0),0)</f>
        <v>2598</v>
      </c>
      <c r="L76">
        <f>_xlfn.XLOOKUP(Staff[[#This Row],[Rating]],$O$26:$O$30,$P$26:$P$30)</f>
        <v>3</v>
      </c>
    </row>
    <row r="77" spans="2:12" x14ac:dyDescent="0.35">
      <c r="B77" s="7" t="s">
        <v>179</v>
      </c>
      <c r="C77" s="7" t="s">
        <v>8</v>
      </c>
      <c r="D77">
        <v>26</v>
      </c>
      <c r="E77" t="s">
        <v>13</v>
      </c>
      <c r="F77" s="11">
        <v>44350</v>
      </c>
      <c r="G77" s="7" t="s">
        <v>12</v>
      </c>
      <c r="H77">
        <v>53540</v>
      </c>
      <c r="I77" s="9">
        <f ca="1">(TODAY()-Staff[[#This Row],[Date Joined]])/365</f>
        <v>3.5424657534246577</v>
      </c>
      <c r="J77" t="s">
        <v>204</v>
      </c>
      <c r="K77">
        <f ca="1">ROUNDUP(IF(Staff[[#This Row],[Tenure]]&gt;2,3%*Staff[[#This Row],[Salary]],0),0)</f>
        <v>1607</v>
      </c>
      <c r="L77">
        <f>_xlfn.XLOOKUP(Staff[[#This Row],[Rating]],$O$26:$O$30,$P$26:$P$30)</f>
        <v>3</v>
      </c>
    </row>
    <row r="78" spans="2:12" x14ac:dyDescent="0.35">
      <c r="B78" s="7" t="s">
        <v>180</v>
      </c>
      <c r="C78" s="7" t="s">
        <v>8</v>
      </c>
      <c r="D78">
        <v>37</v>
      </c>
      <c r="E78" t="s">
        <v>13</v>
      </c>
      <c r="F78" s="11">
        <v>44640</v>
      </c>
      <c r="G78" s="7" t="s">
        <v>23</v>
      </c>
      <c r="H78">
        <v>69070</v>
      </c>
      <c r="I78" s="9">
        <f ca="1">(TODAY()-Staff[[#This Row],[Date Joined]])/365</f>
        <v>2.7479452054794522</v>
      </c>
      <c r="J78" t="s">
        <v>204</v>
      </c>
      <c r="K78">
        <f ca="1">ROUNDUP(IF(Staff[[#This Row],[Tenure]]&gt;2,3%*Staff[[#This Row],[Salary]],0),0)</f>
        <v>2073</v>
      </c>
      <c r="L78">
        <f>_xlfn.XLOOKUP(Staff[[#This Row],[Rating]],$O$26:$O$30,$P$26:$P$30)</f>
        <v>3</v>
      </c>
    </row>
    <row r="79" spans="2:12" x14ac:dyDescent="0.35">
      <c r="B79" s="7" t="s">
        <v>182</v>
      </c>
      <c r="C79" s="7" t="s">
        <v>8</v>
      </c>
      <c r="D79">
        <v>30</v>
      </c>
      <c r="E79" t="s">
        <v>13</v>
      </c>
      <c r="F79" s="11">
        <v>44214</v>
      </c>
      <c r="G79" s="7" t="s">
        <v>23</v>
      </c>
      <c r="H79">
        <v>69120</v>
      </c>
      <c r="I79" s="9">
        <f ca="1">(TODAY()-Staff[[#This Row],[Date Joined]])/365</f>
        <v>3.9150684931506849</v>
      </c>
      <c r="J79" t="s">
        <v>204</v>
      </c>
      <c r="K79">
        <f ca="1">ROUNDUP(IF(Staff[[#This Row],[Tenure]]&gt;2,3%*Staff[[#This Row],[Salary]],0),0)</f>
        <v>2074</v>
      </c>
      <c r="L79">
        <f>_xlfn.XLOOKUP(Staff[[#This Row],[Rating]],$O$26:$O$30,$P$26:$P$30)</f>
        <v>3</v>
      </c>
    </row>
    <row r="80" spans="2:12" x14ac:dyDescent="0.35">
      <c r="B80" s="7" t="s">
        <v>183</v>
      </c>
      <c r="C80" s="7" t="s">
        <v>15</v>
      </c>
      <c r="D80">
        <v>34</v>
      </c>
      <c r="E80" t="s">
        <v>13</v>
      </c>
      <c r="F80" s="11">
        <v>44550</v>
      </c>
      <c r="G80" s="7" t="s">
        <v>17</v>
      </c>
      <c r="H80">
        <v>60130</v>
      </c>
      <c r="I80" s="9">
        <f ca="1">(TODAY()-Staff[[#This Row],[Date Joined]])/365</f>
        <v>2.9945205479452053</v>
      </c>
      <c r="J80" t="s">
        <v>204</v>
      </c>
      <c r="K80">
        <f ca="1">ROUNDUP(IF(Staff[[#This Row],[Tenure]]&gt;2,3%*Staff[[#This Row],[Salary]],0),0)</f>
        <v>1804</v>
      </c>
      <c r="L80">
        <f>_xlfn.XLOOKUP(Staff[[#This Row],[Rating]],$O$26:$O$30,$P$26:$P$30)</f>
        <v>3</v>
      </c>
    </row>
    <row r="81" spans="2:12" x14ac:dyDescent="0.35">
      <c r="B81" s="7" t="s">
        <v>184</v>
      </c>
      <c r="C81" s="7" t="s">
        <v>8</v>
      </c>
      <c r="D81">
        <v>23</v>
      </c>
      <c r="E81" t="s">
        <v>13</v>
      </c>
      <c r="F81" s="11">
        <v>44378</v>
      </c>
      <c r="G81" s="7" t="s">
        <v>12</v>
      </c>
      <c r="H81">
        <v>106460</v>
      </c>
      <c r="I81" s="9">
        <f ca="1">(TODAY()-Staff[[#This Row],[Date Joined]])/365</f>
        <v>3.4657534246575343</v>
      </c>
      <c r="J81" t="s">
        <v>204</v>
      </c>
      <c r="K81">
        <f ca="1">ROUNDUP(IF(Staff[[#This Row],[Tenure]]&gt;2,3%*Staff[[#This Row],[Salary]],0),0)</f>
        <v>3194</v>
      </c>
      <c r="L81">
        <f>_xlfn.XLOOKUP(Staff[[#This Row],[Rating]],$O$26:$O$30,$P$26:$P$30)</f>
        <v>3</v>
      </c>
    </row>
    <row r="82" spans="2:12" x14ac:dyDescent="0.35">
      <c r="B82" s="7" t="s">
        <v>185</v>
      </c>
      <c r="C82" s="7" t="s">
        <v>15</v>
      </c>
      <c r="D82">
        <v>37</v>
      </c>
      <c r="E82" t="s">
        <v>13</v>
      </c>
      <c r="F82" s="11">
        <v>44389</v>
      </c>
      <c r="G82" s="7" t="s">
        <v>26</v>
      </c>
      <c r="H82">
        <v>118100</v>
      </c>
      <c r="I82" s="9">
        <f ca="1">(TODAY()-Staff[[#This Row],[Date Joined]])/365</f>
        <v>3.4356164383561643</v>
      </c>
      <c r="J82" t="s">
        <v>204</v>
      </c>
      <c r="K82">
        <f ca="1">ROUNDUP(IF(Staff[[#This Row],[Tenure]]&gt;2,3%*Staff[[#This Row],[Salary]],0),0)</f>
        <v>3543</v>
      </c>
      <c r="L82">
        <f>_xlfn.XLOOKUP(Staff[[#This Row],[Rating]],$O$26:$O$30,$P$26:$P$30)</f>
        <v>3</v>
      </c>
    </row>
    <row r="83" spans="2:12" x14ac:dyDescent="0.35">
      <c r="B83" s="7" t="s">
        <v>186</v>
      </c>
      <c r="C83" s="7" t="s">
        <v>15</v>
      </c>
      <c r="D83">
        <v>36</v>
      </c>
      <c r="E83" t="s">
        <v>13</v>
      </c>
      <c r="F83" s="11">
        <v>44468</v>
      </c>
      <c r="G83" s="7" t="s">
        <v>12</v>
      </c>
      <c r="H83">
        <v>78390</v>
      </c>
      <c r="I83" s="9">
        <f ca="1">(TODAY()-Staff[[#This Row],[Date Joined]])/365</f>
        <v>3.2191780821917808</v>
      </c>
      <c r="J83" t="s">
        <v>204</v>
      </c>
      <c r="K83">
        <f ca="1">ROUNDUP(IF(Staff[[#This Row],[Tenure]]&gt;2,3%*Staff[[#This Row],[Salary]],0),0)</f>
        <v>2352</v>
      </c>
      <c r="L83">
        <f>_xlfn.XLOOKUP(Staff[[#This Row],[Rating]],$O$26:$O$30,$P$26:$P$30)</f>
        <v>3</v>
      </c>
    </row>
    <row r="84" spans="2:12" x14ac:dyDescent="0.35">
      <c r="B84" s="7" t="s">
        <v>187</v>
      </c>
      <c r="C84" s="7" t="s">
        <v>15</v>
      </c>
      <c r="D84">
        <v>30</v>
      </c>
      <c r="E84" t="s">
        <v>13</v>
      </c>
      <c r="F84" s="11">
        <v>44789</v>
      </c>
      <c r="G84" s="7" t="s">
        <v>12</v>
      </c>
      <c r="H84">
        <v>114180</v>
      </c>
      <c r="I84" s="9">
        <f ca="1">(TODAY()-Staff[[#This Row],[Date Joined]])/365</f>
        <v>2.3397260273972602</v>
      </c>
      <c r="J84" t="s">
        <v>204</v>
      </c>
      <c r="K84">
        <f ca="1">ROUNDUP(IF(Staff[[#This Row],[Tenure]]&gt;2,3%*Staff[[#This Row],[Salary]],0),0)</f>
        <v>3426</v>
      </c>
      <c r="L84">
        <f>_xlfn.XLOOKUP(Staff[[#This Row],[Rating]],$O$26:$O$30,$P$26:$P$30)</f>
        <v>3</v>
      </c>
    </row>
    <row r="85" spans="2:12" x14ac:dyDescent="0.35">
      <c r="B85" s="7" t="s">
        <v>188</v>
      </c>
      <c r="C85" s="7" t="s">
        <v>15</v>
      </c>
      <c r="D85">
        <v>28</v>
      </c>
      <c r="E85" t="s">
        <v>13</v>
      </c>
      <c r="F85" s="11">
        <v>44590</v>
      </c>
      <c r="G85" s="7" t="s">
        <v>12</v>
      </c>
      <c r="H85">
        <v>104120</v>
      </c>
      <c r="I85" s="9">
        <f ca="1">(TODAY()-Staff[[#This Row],[Date Joined]])/365</f>
        <v>2.8849315068493149</v>
      </c>
      <c r="J85" t="s">
        <v>204</v>
      </c>
      <c r="K85">
        <f ca="1">ROUNDUP(IF(Staff[[#This Row],[Tenure]]&gt;2,3%*Staff[[#This Row],[Salary]],0),0)</f>
        <v>3124</v>
      </c>
      <c r="L85">
        <f>_xlfn.XLOOKUP(Staff[[#This Row],[Rating]],$O$26:$O$30,$P$26:$P$30)</f>
        <v>3</v>
      </c>
    </row>
    <row r="86" spans="2:12" x14ac:dyDescent="0.35">
      <c r="B86" s="7" t="s">
        <v>189</v>
      </c>
      <c r="C86" s="7" t="s">
        <v>8</v>
      </c>
      <c r="D86">
        <v>30</v>
      </c>
      <c r="E86" t="s">
        <v>13</v>
      </c>
      <c r="F86" s="11">
        <v>44640</v>
      </c>
      <c r="G86" s="7" t="s">
        <v>12</v>
      </c>
      <c r="H86">
        <v>67950</v>
      </c>
      <c r="I86" s="9">
        <f ca="1">(TODAY()-Staff[[#This Row],[Date Joined]])/365</f>
        <v>2.7479452054794522</v>
      </c>
      <c r="J86" t="s">
        <v>204</v>
      </c>
      <c r="K86">
        <f ca="1">ROUNDUP(IF(Staff[[#This Row],[Tenure]]&gt;2,3%*Staff[[#This Row],[Salary]],0),0)</f>
        <v>2039</v>
      </c>
      <c r="L86">
        <f>_xlfn.XLOOKUP(Staff[[#This Row],[Rating]],$O$26:$O$30,$P$26:$P$30)</f>
        <v>3</v>
      </c>
    </row>
    <row r="87" spans="2:12" x14ac:dyDescent="0.35">
      <c r="B87" s="7" t="s">
        <v>190</v>
      </c>
      <c r="C87" s="7" t="s">
        <v>15</v>
      </c>
      <c r="D87">
        <v>29</v>
      </c>
      <c r="E87" t="s">
        <v>13</v>
      </c>
      <c r="F87" s="11">
        <v>43962</v>
      </c>
      <c r="G87" s="7" t="s">
        <v>23</v>
      </c>
      <c r="H87">
        <v>34980</v>
      </c>
      <c r="I87" s="9">
        <f ca="1">(TODAY()-Staff[[#This Row],[Date Joined]])/365</f>
        <v>4.6054794520547944</v>
      </c>
      <c r="J87" t="s">
        <v>204</v>
      </c>
      <c r="K87">
        <f ca="1">ROUNDUP(IF(Staff[[#This Row],[Tenure]]&gt;2,3%*Staff[[#This Row],[Salary]],0),0)</f>
        <v>1050</v>
      </c>
      <c r="L87">
        <f>_xlfn.XLOOKUP(Staff[[#This Row],[Rating]],$O$26:$O$30,$P$26:$P$30)</f>
        <v>3</v>
      </c>
    </row>
    <row r="88" spans="2:12" x14ac:dyDescent="0.35">
      <c r="B88" s="7" t="s">
        <v>191</v>
      </c>
      <c r="C88" s="7" t="s">
        <v>15</v>
      </c>
      <c r="D88">
        <v>24</v>
      </c>
      <c r="E88" t="s">
        <v>13</v>
      </c>
      <c r="F88" s="11">
        <v>44087</v>
      </c>
      <c r="G88" s="7" t="s">
        <v>23</v>
      </c>
      <c r="H88">
        <v>62780</v>
      </c>
      <c r="I88" s="9">
        <f ca="1">(TODAY()-Staff[[#This Row],[Date Joined]])/365</f>
        <v>4.2630136986301368</v>
      </c>
      <c r="J88" t="s">
        <v>204</v>
      </c>
      <c r="K88">
        <f ca="1">ROUNDUP(IF(Staff[[#This Row],[Tenure]]&gt;2,3%*Staff[[#This Row],[Salary]],0),0)</f>
        <v>1884</v>
      </c>
      <c r="L88">
        <f>_xlfn.XLOOKUP(Staff[[#This Row],[Rating]],$O$26:$O$30,$P$26:$P$30)</f>
        <v>3</v>
      </c>
    </row>
    <row r="89" spans="2:12" x14ac:dyDescent="0.35">
      <c r="B89" s="7" t="s">
        <v>192</v>
      </c>
      <c r="C89" s="7" t="s">
        <v>8</v>
      </c>
      <c r="D89">
        <v>20</v>
      </c>
      <c r="E89" t="s">
        <v>13</v>
      </c>
      <c r="F89" s="11">
        <v>44397</v>
      </c>
      <c r="G89" s="7" t="s">
        <v>23</v>
      </c>
      <c r="H89">
        <v>107700</v>
      </c>
      <c r="I89" s="9">
        <f ca="1">(TODAY()-Staff[[#This Row],[Date Joined]])/365</f>
        <v>3.4136986301369863</v>
      </c>
      <c r="J89" t="s">
        <v>204</v>
      </c>
      <c r="K89">
        <f ca="1">ROUNDUP(IF(Staff[[#This Row],[Tenure]]&gt;2,3%*Staff[[#This Row],[Salary]],0),0)</f>
        <v>3231</v>
      </c>
      <c r="L89">
        <f>_xlfn.XLOOKUP(Staff[[#This Row],[Rating]],$O$26:$O$30,$P$26:$P$30)</f>
        <v>3</v>
      </c>
    </row>
    <row r="90" spans="2:12" x14ac:dyDescent="0.35">
      <c r="B90" s="7" t="s">
        <v>193</v>
      </c>
      <c r="C90" s="7" t="s">
        <v>8</v>
      </c>
      <c r="D90">
        <v>25</v>
      </c>
      <c r="E90" t="s">
        <v>13</v>
      </c>
      <c r="F90" s="11">
        <v>44322</v>
      </c>
      <c r="G90" s="7" t="s">
        <v>9</v>
      </c>
      <c r="H90">
        <v>65700</v>
      </c>
      <c r="I90" s="9">
        <f ca="1">(TODAY()-Staff[[#This Row],[Date Joined]])/365</f>
        <v>3.6191780821917807</v>
      </c>
      <c r="J90" t="s">
        <v>204</v>
      </c>
      <c r="K90">
        <f ca="1">ROUNDUP(IF(Staff[[#This Row],[Tenure]]&gt;2,3%*Staff[[#This Row],[Salary]],0),0)</f>
        <v>1971</v>
      </c>
      <c r="L90">
        <f>_xlfn.XLOOKUP(Staff[[#This Row],[Rating]],$O$26:$O$30,$P$26:$P$30)</f>
        <v>3</v>
      </c>
    </row>
    <row r="91" spans="2:12" x14ac:dyDescent="0.35">
      <c r="B91" s="7" t="s">
        <v>195</v>
      </c>
      <c r="C91" s="7" t="s">
        <v>8</v>
      </c>
      <c r="D91">
        <v>33</v>
      </c>
      <c r="E91" t="s">
        <v>13</v>
      </c>
      <c r="F91" s="11">
        <v>44448</v>
      </c>
      <c r="G91" s="7" t="s">
        <v>23</v>
      </c>
      <c r="H91">
        <v>53870</v>
      </c>
      <c r="I91" s="9">
        <f ca="1">(TODAY()-Staff[[#This Row],[Date Joined]])/365</f>
        <v>3.2739726027397262</v>
      </c>
      <c r="J91" t="s">
        <v>204</v>
      </c>
      <c r="K91">
        <f ca="1">ROUNDUP(IF(Staff[[#This Row],[Tenure]]&gt;2,3%*Staff[[#This Row],[Salary]],0),0)</f>
        <v>1617</v>
      </c>
      <c r="L91">
        <f>_xlfn.XLOOKUP(Staff[[#This Row],[Rating]],$O$26:$O$30,$P$26:$P$30)</f>
        <v>3</v>
      </c>
    </row>
    <row r="92" spans="2:12" x14ac:dyDescent="0.35">
      <c r="B92" s="7" t="s">
        <v>196</v>
      </c>
      <c r="C92" s="7" t="s">
        <v>15</v>
      </c>
      <c r="D92">
        <v>36</v>
      </c>
      <c r="E92" t="s">
        <v>13</v>
      </c>
      <c r="F92" s="11">
        <v>44433</v>
      </c>
      <c r="G92" s="7" t="s">
        <v>9</v>
      </c>
      <c r="H92">
        <v>78540</v>
      </c>
      <c r="I92" s="9">
        <f ca="1">(TODAY()-Staff[[#This Row],[Date Joined]])/365</f>
        <v>3.3150684931506849</v>
      </c>
      <c r="J92" t="s">
        <v>204</v>
      </c>
      <c r="K92">
        <f ca="1">ROUNDUP(IF(Staff[[#This Row],[Tenure]]&gt;2,3%*Staff[[#This Row],[Salary]],0),0)</f>
        <v>2357</v>
      </c>
      <c r="L92">
        <f>_xlfn.XLOOKUP(Staff[[#This Row],[Rating]],$O$26:$O$30,$P$26:$P$30)</f>
        <v>3</v>
      </c>
    </row>
    <row r="93" spans="2:12" x14ac:dyDescent="0.35">
      <c r="B93" s="7" t="s">
        <v>197</v>
      </c>
      <c r="C93" s="7" t="s">
        <v>8</v>
      </c>
      <c r="D93">
        <v>19</v>
      </c>
      <c r="E93" t="s">
        <v>13</v>
      </c>
      <c r="F93" s="11">
        <v>44218</v>
      </c>
      <c r="G93" s="7" t="s">
        <v>12</v>
      </c>
      <c r="H93">
        <v>58960</v>
      </c>
      <c r="I93" s="9">
        <f ca="1">(TODAY()-Staff[[#This Row],[Date Joined]])/365</f>
        <v>3.904109589041096</v>
      </c>
      <c r="J93" t="s">
        <v>204</v>
      </c>
      <c r="K93">
        <f ca="1">ROUNDUP(IF(Staff[[#This Row],[Tenure]]&gt;2,3%*Staff[[#This Row],[Salary]],0),0)</f>
        <v>1769</v>
      </c>
      <c r="L93">
        <f>_xlfn.XLOOKUP(Staff[[#This Row],[Rating]],$O$26:$O$30,$P$26:$P$30)</f>
        <v>3</v>
      </c>
    </row>
    <row r="94" spans="2:12" x14ac:dyDescent="0.35">
      <c r="B94" s="7" t="s">
        <v>198</v>
      </c>
      <c r="C94" s="7" t="s">
        <v>8</v>
      </c>
      <c r="D94">
        <v>46</v>
      </c>
      <c r="E94" t="s">
        <v>13</v>
      </c>
      <c r="F94" s="11">
        <v>44697</v>
      </c>
      <c r="G94" s="7" t="s">
        <v>12</v>
      </c>
      <c r="H94">
        <v>70610</v>
      </c>
      <c r="I94" s="9">
        <f ca="1">(TODAY()-Staff[[#This Row],[Date Joined]])/365</f>
        <v>2.591780821917808</v>
      </c>
      <c r="J94" t="s">
        <v>204</v>
      </c>
      <c r="K94">
        <f ca="1">ROUNDUP(IF(Staff[[#This Row],[Tenure]]&gt;2,3%*Staff[[#This Row],[Salary]],0),0)</f>
        <v>2119</v>
      </c>
      <c r="L94">
        <f>_xlfn.XLOOKUP(Staff[[#This Row],[Rating]],$O$26:$O$30,$P$26:$P$30)</f>
        <v>3</v>
      </c>
    </row>
    <row r="95" spans="2:12" x14ac:dyDescent="0.35">
      <c r="B95" s="7" t="s">
        <v>199</v>
      </c>
      <c r="C95" s="7" t="s">
        <v>8</v>
      </c>
      <c r="D95">
        <v>33</v>
      </c>
      <c r="E95" t="s">
        <v>13</v>
      </c>
      <c r="F95" s="11">
        <v>44181</v>
      </c>
      <c r="G95" s="7" t="s">
        <v>17</v>
      </c>
      <c r="H95">
        <v>59430</v>
      </c>
      <c r="I95" s="9">
        <f ca="1">(TODAY()-Staff[[#This Row],[Date Joined]])/365</f>
        <v>4.0054794520547947</v>
      </c>
      <c r="J95" t="s">
        <v>204</v>
      </c>
      <c r="K95">
        <f ca="1">ROUNDUP(IF(Staff[[#This Row],[Tenure]]&gt;2,3%*Staff[[#This Row],[Salary]],0),0)</f>
        <v>1783</v>
      </c>
      <c r="L95">
        <f>_xlfn.XLOOKUP(Staff[[#This Row],[Rating]],$O$26:$O$30,$P$26:$P$30)</f>
        <v>3</v>
      </c>
    </row>
    <row r="96" spans="2:12" x14ac:dyDescent="0.35">
      <c r="B96" s="7" t="s">
        <v>201</v>
      </c>
      <c r="C96" s="7" t="s">
        <v>15</v>
      </c>
      <c r="D96">
        <v>33</v>
      </c>
      <c r="E96" t="s">
        <v>13</v>
      </c>
      <c r="F96" s="11">
        <v>44129</v>
      </c>
      <c r="G96" s="7" t="s">
        <v>23</v>
      </c>
      <c r="H96">
        <v>96140</v>
      </c>
      <c r="I96" s="9">
        <f ca="1">(TODAY()-Staff[[#This Row],[Date Joined]])/365</f>
        <v>4.1479452054794521</v>
      </c>
      <c r="J96" t="s">
        <v>204</v>
      </c>
      <c r="K96">
        <f ca="1">ROUNDUP(IF(Staff[[#This Row],[Tenure]]&gt;2,3%*Staff[[#This Row],[Salary]],0),0)</f>
        <v>2885</v>
      </c>
      <c r="L96">
        <f>_xlfn.XLOOKUP(Staff[[#This Row],[Rating]],$O$26:$O$30,$P$26:$P$30)</f>
        <v>3</v>
      </c>
    </row>
    <row r="97" spans="2:12" x14ac:dyDescent="0.35">
      <c r="B97" s="7" t="s">
        <v>11</v>
      </c>
      <c r="C97" s="7" t="s">
        <v>8</v>
      </c>
      <c r="D97">
        <v>46</v>
      </c>
      <c r="E97" t="s">
        <v>13</v>
      </c>
      <c r="F97" s="11">
        <v>44758</v>
      </c>
      <c r="G97" s="7" t="s">
        <v>12</v>
      </c>
      <c r="H97">
        <v>70610</v>
      </c>
      <c r="I97" s="9">
        <f ca="1">(TODAY()-Staff[[#This Row],[Date Joined]])/365</f>
        <v>2.4246575342465753</v>
      </c>
      <c r="J97" t="s">
        <v>206</v>
      </c>
      <c r="K97">
        <f ca="1">ROUNDUP(IF(Staff[[#This Row],[Tenure]]&gt;2,3%*Staff[[#This Row],[Salary]],0),0)</f>
        <v>2119</v>
      </c>
      <c r="L97">
        <f>_xlfn.XLOOKUP(Staff[[#This Row],[Rating]],$O$26:$O$30,$P$26:$P$30)</f>
        <v>3</v>
      </c>
    </row>
    <row r="98" spans="2:12" x14ac:dyDescent="0.35">
      <c r="B98" s="7" t="s">
        <v>14</v>
      </c>
      <c r="C98" s="7" t="s">
        <v>15</v>
      </c>
      <c r="D98">
        <v>28</v>
      </c>
      <c r="E98" t="s">
        <v>13</v>
      </c>
      <c r="F98" s="11">
        <v>44357</v>
      </c>
      <c r="G98" s="7" t="s">
        <v>9</v>
      </c>
      <c r="H98">
        <v>53240</v>
      </c>
      <c r="I98" s="9">
        <f ca="1">(TODAY()-Staff[[#This Row],[Date Joined]])/365</f>
        <v>3.5232876712328767</v>
      </c>
      <c r="J98" t="s">
        <v>206</v>
      </c>
      <c r="K98">
        <f ca="1">ROUNDUP(IF(Staff[[#This Row],[Tenure]]&gt;2,3%*Staff[[#This Row],[Salary]],0),0)</f>
        <v>1598</v>
      </c>
      <c r="L98">
        <f>_xlfn.XLOOKUP(Staff[[#This Row],[Rating]],$O$26:$O$30,$P$26:$P$30)</f>
        <v>3</v>
      </c>
    </row>
    <row r="99" spans="2:12" x14ac:dyDescent="0.35">
      <c r="B99" s="7" t="s">
        <v>19</v>
      </c>
      <c r="C99" s="7" t="s">
        <v>8</v>
      </c>
      <c r="D99">
        <v>32</v>
      </c>
      <c r="E99" t="s">
        <v>13</v>
      </c>
      <c r="F99" s="11">
        <v>44465</v>
      </c>
      <c r="G99" s="7" t="s">
        <v>9</v>
      </c>
      <c r="H99">
        <v>53540</v>
      </c>
      <c r="I99" s="9">
        <f ca="1">(TODAY()-Staff[[#This Row],[Date Joined]])/365</f>
        <v>3.2273972602739724</v>
      </c>
      <c r="J99" t="s">
        <v>206</v>
      </c>
      <c r="K99">
        <f ca="1">ROUNDUP(IF(Staff[[#This Row],[Tenure]]&gt;2,3%*Staff[[#This Row],[Salary]],0),0)</f>
        <v>1607</v>
      </c>
      <c r="L99">
        <f>_xlfn.XLOOKUP(Staff[[#This Row],[Rating]],$O$26:$O$30,$P$26:$P$30)</f>
        <v>3</v>
      </c>
    </row>
    <row r="100" spans="2:12" x14ac:dyDescent="0.35">
      <c r="B100" s="7" t="s">
        <v>20</v>
      </c>
      <c r="C100" s="7" t="s">
        <v>15</v>
      </c>
      <c r="D100">
        <v>30</v>
      </c>
      <c r="E100" t="s">
        <v>13</v>
      </c>
      <c r="F100" s="11">
        <v>44861</v>
      </c>
      <c r="G100" s="7" t="s">
        <v>12</v>
      </c>
      <c r="H100">
        <v>112570</v>
      </c>
      <c r="I100" s="9">
        <f ca="1">(TODAY()-Staff[[#This Row],[Date Joined]])/365</f>
        <v>2.1424657534246574</v>
      </c>
      <c r="J100" t="s">
        <v>206</v>
      </c>
      <c r="K100">
        <f ca="1">ROUNDUP(IF(Staff[[#This Row],[Tenure]]&gt;2,3%*Staff[[#This Row],[Salary]],0),0)</f>
        <v>3378</v>
      </c>
      <c r="L100">
        <f>_xlfn.XLOOKUP(Staff[[#This Row],[Rating]],$O$26:$O$30,$P$26:$P$30)</f>
        <v>3</v>
      </c>
    </row>
    <row r="101" spans="2:12" x14ac:dyDescent="0.35">
      <c r="B101" s="7" t="s">
        <v>22</v>
      </c>
      <c r="C101" s="7" t="s">
        <v>15</v>
      </c>
      <c r="D101">
        <v>24</v>
      </c>
      <c r="E101" t="s">
        <v>13</v>
      </c>
      <c r="F101" s="11">
        <v>44148</v>
      </c>
      <c r="G101" s="7" t="s">
        <v>23</v>
      </c>
      <c r="H101">
        <v>62780</v>
      </c>
      <c r="I101" s="9">
        <f ca="1">(TODAY()-Staff[[#This Row],[Date Joined]])/365</f>
        <v>4.095890410958904</v>
      </c>
      <c r="J101" t="s">
        <v>206</v>
      </c>
      <c r="K101">
        <f ca="1">ROUNDUP(IF(Staff[[#This Row],[Tenure]]&gt;2,3%*Staff[[#This Row],[Salary]],0),0)</f>
        <v>1884</v>
      </c>
      <c r="L101">
        <f>_xlfn.XLOOKUP(Staff[[#This Row],[Rating]],$O$26:$O$30,$P$26:$P$30)</f>
        <v>3</v>
      </c>
    </row>
    <row r="102" spans="2:12" x14ac:dyDescent="0.35">
      <c r="B102" s="7" t="s">
        <v>24</v>
      </c>
      <c r="C102" s="7" t="s">
        <v>8</v>
      </c>
      <c r="D102">
        <v>33</v>
      </c>
      <c r="E102" t="s">
        <v>13</v>
      </c>
      <c r="F102" s="11">
        <v>44509</v>
      </c>
      <c r="G102" s="7" t="s">
        <v>23</v>
      </c>
      <c r="H102">
        <v>53870</v>
      </c>
      <c r="I102" s="9">
        <f ca="1">(TODAY()-Staff[[#This Row],[Date Joined]])/365</f>
        <v>3.106849315068493</v>
      </c>
      <c r="J102" t="s">
        <v>206</v>
      </c>
      <c r="K102">
        <f ca="1">ROUNDUP(IF(Staff[[#This Row],[Tenure]]&gt;2,3%*Staff[[#This Row],[Salary]],0),0)</f>
        <v>1617</v>
      </c>
      <c r="L102">
        <f>_xlfn.XLOOKUP(Staff[[#This Row],[Rating]],$O$26:$O$30,$P$26:$P$30)</f>
        <v>3</v>
      </c>
    </row>
    <row r="103" spans="2:12" x14ac:dyDescent="0.35">
      <c r="B103" s="7" t="s">
        <v>25</v>
      </c>
      <c r="C103" s="7" t="s">
        <v>15</v>
      </c>
      <c r="D103">
        <v>27</v>
      </c>
      <c r="E103" t="s">
        <v>13</v>
      </c>
      <c r="F103" s="11">
        <v>44122</v>
      </c>
      <c r="G103" s="7" t="s">
        <v>26</v>
      </c>
      <c r="H103">
        <v>119110</v>
      </c>
      <c r="I103" s="9">
        <f ca="1">(TODAY()-Staff[[#This Row],[Date Joined]])/365</f>
        <v>4.1671232876712327</v>
      </c>
      <c r="J103" t="s">
        <v>206</v>
      </c>
      <c r="K103">
        <f ca="1">ROUNDUP(IF(Staff[[#This Row],[Tenure]]&gt;2,3%*Staff[[#This Row],[Salary]],0),0)</f>
        <v>3574</v>
      </c>
      <c r="L103">
        <f>_xlfn.XLOOKUP(Staff[[#This Row],[Rating]],$O$26:$O$30,$P$26:$P$30)</f>
        <v>3</v>
      </c>
    </row>
    <row r="104" spans="2:12" x14ac:dyDescent="0.35">
      <c r="B104" s="7" t="s">
        <v>28</v>
      </c>
      <c r="C104" s="7" t="s">
        <v>8</v>
      </c>
      <c r="D104">
        <v>25</v>
      </c>
      <c r="E104" t="s">
        <v>13</v>
      </c>
      <c r="F104" s="11">
        <v>44383</v>
      </c>
      <c r="G104" s="7" t="s">
        <v>9</v>
      </c>
      <c r="H104">
        <v>65700</v>
      </c>
      <c r="I104" s="9">
        <f ca="1">(TODAY()-Staff[[#This Row],[Date Joined]])/365</f>
        <v>3.452054794520548</v>
      </c>
      <c r="J104" t="s">
        <v>206</v>
      </c>
      <c r="K104">
        <f ca="1">ROUNDUP(IF(Staff[[#This Row],[Tenure]]&gt;2,3%*Staff[[#This Row],[Salary]],0),0)</f>
        <v>1971</v>
      </c>
      <c r="L104">
        <f>_xlfn.XLOOKUP(Staff[[#This Row],[Rating]],$O$26:$O$30,$P$26:$P$30)</f>
        <v>3</v>
      </c>
    </row>
    <row r="105" spans="2:12" x14ac:dyDescent="0.35">
      <c r="B105" s="7" t="s">
        <v>29</v>
      </c>
      <c r="C105" s="7" t="s">
        <v>8</v>
      </c>
      <c r="D105">
        <v>37</v>
      </c>
      <c r="E105" t="s">
        <v>13</v>
      </c>
      <c r="F105" s="11">
        <v>44701</v>
      </c>
      <c r="G105" s="7" t="s">
        <v>23</v>
      </c>
      <c r="H105">
        <v>69070</v>
      </c>
      <c r="I105" s="9">
        <f ca="1">(TODAY()-Staff[[#This Row],[Date Joined]])/365</f>
        <v>2.580821917808219</v>
      </c>
      <c r="J105" t="s">
        <v>206</v>
      </c>
      <c r="K105">
        <f ca="1">ROUNDUP(IF(Staff[[#This Row],[Tenure]]&gt;2,3%*Staff[[#This Row],[Salary]],0),0)</f>
        <v>2073</v>
      </c>
      <c r="L105">
        <f>_xlfn.XLOOKUP(Staff[[#This Row],[Rating]],$O$26:$O$30,$P$26:$P$30)</f>
        <v>3</v>
      </c>
    </row>
    <row r="106" spans="2:12" x14ac:dyDescent="0.35">
      <c r="B106" s="7" t="s">
        <v>30</v>
      </c>
      <c r="C106" s="7" t="s">
        <v>8</v>
      </c>
      <c r="D106">
        <v>20</v>
      </c>
      <c r="E106" t="s">
        <v>13</v>
      </c>
      <c r="F106" s="11">
        <v>44459</v>
      </c>
      <c r="G106" s="7" t="s">
        <v>23</v>
      </c>
      <c r="H106">
        <v>107700</v>
      </c>
      <c r="I106" s="9">
        <f ca="1">(TODAY()-Staff[[#This Row],[Date Joined]])/365</f>
        <v>3.2438356164383562</v>
      </c>
      <c r="J106" t="s">
        <v>206</v>
      </c>
      <c r="K106">
        <f ca="1">ROUNDUP(IF(Staff[[#This Row],[Tenure]]&gt;2,3%*Staff[[#This Row],[Salary]],0),0)</f>
        <v>3231</v>
      </c>
      <c r="L106">
        <f>_xlfn.XLOOKUP(Staff[[#This Row],[Rating]],$O$26:$O$30,$P$26:$P$30)</f>
        <v>3</v>
      </c>
    </row>
    <row r="107" spans="2:12" x14ac:dyDescent="0.35">
      <c r="B107" s="7" t="s">
        <v>32</v>
      </c>
      <c r="C107" s="7" t="s">
        <v>8</v>
      </c>
      <c r="D107">
        <v>40</v>
      </c>
      <c r="E107" t="s">
        <v>13</v>
      </c>
      <c r="F107" s="11">
        <v>44263</v>
      </c>
      <c r="G107" s="7" t="s">
        <v>12</v>
      </c>
      <c r="H107">
        <v>99750</v>
      </c>
      <c r="I107" s="9">
        <f ca="1">(TODAY()-Staff[[#This Row],[Date Joined]])/365</f>
        <v>3.7808219178082192</v>
      </c>
      <c r="J107" t="s">
        <v>206</v>
      </c>
      <c r="K107">
        <f ca="1">ROUNDUP(IF(Staff[[#This Row],[Tenure]]&gt;2,3%*Staff[[#This Row],[Salary]],0),0)</f>
        <v>2993</v>
      </c>
      <c r="L107">
        <f>_xlfn.XLOOKUP(Staff[[#This Row],[Rating]],$O$26:$O$30,$P$26:$P$30)</f>
        <v>3</v>
      </c>
    </row>
    <row r="108" spans="2:12" x14ac:dyDescent="0.35">
      <c r="B108" s="7" t="s">
        <v>33</v>
      </c>
      <c r="C108" s="7" t="s">
        <v>8</v>
      </c>
      <c r="D108">
        <v>21</v>
      </c>
      <c r="E108" t="s">
        <v>13</v>
      </c>
      <c r="F108" s="11">
        <v>44104</v>
      </c>
      <c r="G108" s="7" t="s">
        <v>12</v>
      </c>
      <c r="H108">
        <v>37920</v>
      </c>
      <c r="I108" s="9">
        <f ca="1">(TODAY()-Staff[[#This Row],[Date Joined]])/365</f>
        <v>4.2164383561643834</v>
      </c>
      <c r="J108" t="s">
        <v>206</v>
      </c>
      <c r="K108">
        <f ca="1">ROUNDUP(IF(Staff[[#This Row],[Tenure]]&gt;2,3%*Staff[[#This Row],[Salary]],0),0)</f>
        <v>1138</v>
      </c>
      <c r="L108">
        <f>_xlfn.XLOOKUP(Staff[[#This Row],[Rating]],$O$26:$O$30,$P$26:$P$30)</f>
        <v>3</v>
      </c>
    </row>
    <row r="109" spans="2:12" x14ac:dyDescent="0.35">
      <c r="B109" s="7" t="s">
        <v>34</v>
      </c>
      <c r="C109" s="7" t="s">
        <v>8</v>
      </c>
      <c r="D109">
        <v>21</v>
      </c>
      <c r="E109" t="s">
        <v>13</v>
      </c>
      <c r="F109" s="11">
        <v>44762</v>
      </c>
      <c r="G109" s="7" t="s">
        <v>12</v>
      </c>
      <c r="H109">
        <v>57090</v>
      </c>
      <c r="I109" s="9">
        <f ca="1">(TODAY()-Staff[[#This Row],[Date Joined]])/365</f>
        <v>2.4136986301369863</v>
      </c>
      <c r="J109" t="s">
        <v>206</v>
      </c>
      <c r="K109">
        <f ca="1">ROUNDUP(IF(Staff[[#This Row],[Tenure]]&gt;2,3%*Staff[[#This Row],[Salary]],0),0)</f>
        <v>1713</v>
      </c>
      <c r="L109">
        <f>_xlfn.XLOOKUP(Staff[[#This Row],[Rating]],$O$26:$O$30,$P$26:$P$30)</f>
        <v>3</v>
      </c>
    </row>
    <row r="110" spans="2:12" x14ac:dyDescent="0.35">
      <c r="B110" s="7" t="s">
        <v>35</v>
      </c>
      <c r="C110" s="7" t="s">
        <v>15</v>
      </c>
      <c r="D110">
        <v>31</v>
      </c>
      <c r="E110" t="s">
        <v>13</v>
      </c>
      <c r="F110" s="11">
        <v>44145</v>
      </c>
      <c r="G110" s="7" t="s">
        <v>23</v>
      </c>
      <c r="H110">
        <v>41980</v>
      </c>
      <c r="I110" s="9">
        <f ca="1">(TODAY()-Staff[[#This Row],[Date Joined]])/365</f>
        <v>4.1041095890410961</v>
      </c>
      <c r="J110" t="s">
        <v>206</v>
      </c>
      <c r="K110">
        <f ca="1">ROUNDUP(IF(Staff[[#This Row],[Tenure]]&gt;2,3%*Staff[[#This Row],[Salary]],0),0)</f>
        <v>1260</v>
      </c>
      <c r="L110">
        <f>_xlfn.XLOOKUP(Staff[[#This Row],[Rating]],$O$26:$O$30,$P$26:$P$30)</f>
        <v>3</v>
      </c>
    </row>
    <row r="111" spans="2:12" x14ac:dyDescent="0.35">
      <c r="B111" s="7" t="s">
        <v>36</v>
      </c>
      <c r="C111" s="7" t="s">
        <v>8</v>
      </c>
      <c r="D111">
        <v>21</v>
      </c>
      <c r="E111" t="s">
        <v>13</v>
      </c>
      <c r="F111" s="11">
        <v>44242</v>
      </c>
      <c r="G111" s="7" t="s">
        <v>26</v>
      </c>
      <c r="H111">
        <v>75880</v>
      </c>
      <c r="I111" s="9">
        <f ca="1">(TODAY()-Staff[[#This Row],[Date Joined]])/365</f>
        <v>3.8383561643835615</v>
      </c>
      <c r="J111" t="s">
        <v>206</v>
      </c>
      <c r="K111">
        <f ca="1">ROUNDUP(IF(Staff[[#This Row],[Tenure]]&gt;2,3%*Staff[[#This Row],[Salary]],0),0)</f>
        <v>2277</v>
      </c>
      <c r="L111">
        <f>_xlfn.XLOOKUP(Staff[[#This Row],[Rating]],$O$26:$O$30,$P$26:$P$30)</f>
        <v>3</v>
      </c>
    </row>
    <row r="112" spans="2:12" x14ac:dyDescent="0.35">
      <c r="B112" s="7" t="s">
        <v>37</v>
      </c>
      <c r="C112" s="7" t="s">
        <v>15</v>
      </c>
      <c r="D112">
        <v>34</v>
      </c>
      <c r="E112" t="s">
        <v>13</v>
      </c>
      <c r="F112" s="11">
        <v>44653</v>
      </c>
      <c r="G112" s="7" t="s">
        <v>17</v>
      </c>
      <c r="H112">
        <v>58940</v>
      </c>
      <c r="I112" s="9">
        <f ca="1">(TODAY()-Staff[[#This Row],[Date Joined]])/365</f>
        <v>2.7123287671232879</v>
      </c>
      <c r="J112" t="s">
        <v>206</v>
      </c>
      <c r="K112">
        <f ca="1">ROUNDUP(IF(Staff[[#This Row],[Tenure]]&gt;2,3%*Staff[[#This Row],[Salary]],0),0)</f>
        <v>1769</v>
      </c>
      <c r="L112">
        <f>_xlfn.XLOOKUP(Staff[[#This Row],[Rating]],$O$26:$O$30,$P$26:$P$30)</f>
        <v>3</v>
      </c>
    </row>
    <row r="113" spans="2:12" x14ac:dyDescent="0.35">
      <c r="B113" s="7" t="s">
        <v>39</v>
      </c>
      <c r="C113" s="7" t="s">
        <v>15</v>
      </c>
      <c r="D113">
        <v>31</v>
      </c>
      <c r="E113" t="s">
        <v>13</v>
      </c>
      <c r="F113" s="11">
        <v>44663</v>
      </c>
      <c r="G113" s="7" t="s">
        <v>23</v>
      </c>
      <c r="H113">
        <v>58100</v>
      </c>
      <c r="I113" s="9">
        <f ca="1">(TODAY()-Staff[[#This Row],[Date Joined]])/365</f>
        <v>2.6849315068493151</v>
      </c>
      <c r="J113" t="s">
        <v>206</v>
      </c>
      <c r="K113">
        <f ca="1">ROUNDUP(IF(Staff[[#This Row],[Tenure]]&gt;2,3%*Staff[[#This Row],[Salary]],0),0)</f>
        <v>1743</v>
      </c>
      <c r="L113">
        <f>_xlfn.XLOOKUP(Staff[[#This Row],[Rating]],$O$26:$O$30,$P$26:$P$30)</f>
        <v>3</v>
      </c>
    </row>
    <row r="114" spans="2:12" x14ac:dyDescent="0.35">
      <c r="B114" s="7" t="s">
        <v>40</v>
      </c>
      <c r="C114" s="7" t="s">
        <v>8</v>
      </c>
      <c r="D114">
        <v>27</v>
      </c>
      <c r="E114" t="s">
        <v>13</v>
      </c>
      <c r="F114" s="11">
        <v>44567</v>
      </c>
      <c r="G114" s="7" t="s">
        <v>17</v>
      </c>
      <c r="H114">
        <v>48980</v>
      </c>
      <c r="I114" s="9">
        <f ca="1">(TODAY()-Staff[[#This Row],[Date Joined]])/365</f>
        <v>2.9479452054794519</v>
      </c>
      <c r="J114" t="s">
        <v>206</v>
      </c>
      <c r="K114">
        <f ca="1">ROUNDUP(IF(Staff[[#This Row],[Tenure]]&gt;2,3%*Staff[[#This Row],[Salary]],0),0)</f>
        <v>1470</v>
      </c>
      <c r="L114">
        <f>_xlfn.XLOOKUP(Staff[[#This Row],[Rating]],$O$26:$O$30,$P$26:$P$30)</f>
        <v>3</v>
      </c>
    </row>
    <row r="115" spans="2:12" x14ac:dyDescent="0.35">
      <c r="B115" s="7" t="s">
        <v>41</v>
      </c>
      <c r="C115" s="7" t="s">
        <v>205</v>
      </c>
      <c r="D115">
        <v>30</v>
      </c>
      <c r="E115" t="s">
        <v>13</v>
      </c>
      <c r="F115" s="11">
        <v>44597</v>
      </c>
      <c r="G115" s="7" t="s">
        <v>17</v>
      </c>
      <c r="H115">
        <v>64000</v>
      </c>
      <c r="I115" s="9">
        <f ca="1">(TODAY()-Staff[[#This Row],[Date Joined]])/365</f>
        <v>2.8657534246575342</v>
      </c>
      <c r="J115" t="s">
        <v>206</v>
      </c>
      <c r="K115">
        <f ca="1">ROUNDUP(IF(Staff[[#This Row],[Tenure]]&gt;2,3%*Staff[[#This Row],[Salary]],0),0)</f>
        <v>1920</v>
      </c>
      <c r="L115">
        <f>_xlfn.XLOOKUP(Staff[[#This Row],[Rating]],$O$26:$O$30,$P$26:$P$30)</f>
        <v>3</v>
      </c>
    </row>
    <row r="116" spans="2:12" x14ac:dyDescent="0.35">
      <c r="B116" s="7" t="s">
        <v>44</v>
      </c>
      <c r="C116" s="7" t="s">
        <v>15</v>
      </c>
      <c r="D116">
        <v>40</v>
      </c>
      <c r="E116" t="s">
        <v>13</v>
      </c>
      <c r="F116" s="11">
        <v>44337</v>
      </c>
      <c r="G116" s="7" t="s">
        <v>23</v>
      </c>
      <c r="H116">
        <v>87620</v>
      </c>
      <c r="I116" s="9">
        <f ca="1">(TODAY()-Staff[[#This Row],[Date Joined]])/365</f>
        <v>3.5780821917808221</v>
      </c>
      <c r="J116" t="s">
        <v>206</v>
      </c>
      <c r="K116">
        <f ca="1">ROUNDUP(IF(Staff[[#This Row],[Tenure]]&gt;2,3%*Staff[[#This Row],[Salary]],0),0)</f>
        <v>2629</v>
      </c>
      <c r="L116">
        <f>_xlfn.XLOOKUP(Staff[[#This Row],[Rating]],$O$26:$O$30,$P$26:$P$30)</f>
        <v>3</v>
      </c>
    </row>
    <row r="117" spans="2:12" x14ac:dyDescent="0.35">
      <c r="B117" s="7" t="s">
        <v>45</v>
      </c>
      <c r="C117" s="7" t="s">
        <v>15</v>
      </c>
      <c r="D117">
        <v>29</v>
      </c>
      <c r="E117" t="s">
        <v>13</v>
      </c>
      <c r="F117" s="11">
        <v>44023</v>
      </c>
      <c r="G117" s="7" t="s">
        <v>23</v>
      </c>
      <c r="H117">
        <v>34980</v>
      </c>
      <c r="I117" s="9">
        <f ca="1">(TODAY()-Staff[[#This Row],[Date Joined]])/365</f>
        <v>4.4383561643835616</v>
      </c>
      <c r="J117" t="s">
        <v>206</v>
      </c>
      <c r="K117">
        <f ca="1">ROUNDUP(IF(Staff[[#This Row],[Tenure]]&gt;2,3%*Staff[[#This Row],[Salary]],0),0)</f>
        <v>1050</v>
      </c>
      <c r="L117">
        <f>_xlfn.XLOOKUP(Staff[[#This Row],[Rating]],$O$26:$O$30,$P$26:$P$30)</f>
        <v>3</v>
      </c>
    </row>
    <row r="118" spans="2:12" x14ac:dyDescent="0.35">
      <c r="B118" s="7" t="s">
        <v>46</v>
      </c>
      <c r="C118" s="7" t="s">
        <v>15</v>
      </c>
      <c r="D118">
        <v>28</v>
      </c>
      <c r="E118" t="s">
        <v>13</v>
      </c>
      <c r="F118" s="11">
        <v>44185</v>
      </c>
      <c r="G118" s="7" t="s">
        <v>17</v>
      </c>
      <c r="H118">
        <v>75970</v>
      </c>
      <c r="I118" s="9">
        <f ca="1">(TODAY()-Staff[[#This Row],[Date Joined]])/365</f>
        <v>3.9945205479452053</v>
      </c>
      <c r="J118" t="s">
        <v>206</v>
      </c>
      <c r="K118">
        <f ca="1">ROUNDUP(IF(Staff[[#This Row],[Tenure]]&gt;2,3%*Staff[[#This Row],[Salary]],0),0)</f>
        <v>2280</v>
      </c>
      <c r="L118">
        <f>_xlfn.XLOOKUP(Staff[[#This Row],[Rating]],$O$26:$O$30,$P$26:$P$30)</f>
        <v>3</v>
      </c>
    </row>
    <row r="119" spans="2:12" x14ac:dyDescent="0.35">
      <c r="B119" s="7" t="s">
        <v>47</v>
      </c>
      <c r="C119" s="7" t="s">
        <v>15</v>
      </c>
      <c r="D119">
        <v>34</v>
      </c>
      <c r="E119" t="s">
        <v>13</v>
      </c>
      <c r="F119" s="11">
        <v>44612</v>
      </c>
      <c r="G119" s="7" t="s">
        <v>17</v>
      </c>
      <c r="H119">
        <v>60130</v>
      </c>
      <c r="I119" s="9">
        <f ca="1">(TODAY()-Staff[[#This Row],[Date Joined]])/365</f>
        <v>2.8246575342465752</v>
      </c>
      <c r="J119" t="s">
        <v>206</v>
      </c>
      <c r="K119">
        <f ca="1">ROUNDUP(IF(Staff[[#This Row],[Tenure]]&gt;2,3%*Staff[[#This Row],[Salary]],0),0)</f>
        <v>1804</v>
      </c>
      <c r="L119">
        <f>_xlfn.XLOOKUP(Staff[[#This Row],[Rating]],$O$26:$O$30,$P$26:$P$30)</f>
        <v>3</v>
      </c>
    </row>
    <row r="120" spans="2:12" x14ac:dyDescent="0.35">
      <c r="B120" s="7" t="s">
        <v>50</v>
      </c>
      <c r="C120" s="7" t="s">
        <v>8</v>
      </c>
      <c r="D120">
        <v>33</v>
      </c>
      <c r="E120" t="s">
        <v>13</v>
      </c>
      <c r="F120" s="11">
        <v>44164</v>
      </c>
      <c r="G120" s="7" t="s">
        <v>12</v>
      </c>
      <c r="H120">
        <v>115920</v>
      </c>
      <c r="I120" s="9">
        <f ca="1">(TODAY()-Staff[[#This Row],[Date Joined]])/365</f>
        <v>4.0520547945205481</v>
      </c>
      <c r="J120" t="s">
        <v>206</v>
      </c>
      <c r="K120">
        <f ca="1">ROUNDUP(IF(Staff[[#This Row],[Tenure]]&gt;2,3%*Staff[[#This Row],[Salary]],0),0)</f>
        <v>3478</v>
      </c>
      <c r="L120">
        <f>_xlfn.XLOOKUP(Staff[[#This Row],[Rating]],$O$26:$O$30,$P$26:$P$30)</f>
        <v>3</v>
      </c>
    </row>
    <row r="121" spans="2:12" x14ac:dyDescent="0.35">
      <c r="B121" s="7" t="s">
        <v>51</v>
      </c>
      <c r="C121" s="7" t="s">
        <v>15</v>
      </c>
      <c r="D121">
        <v>36</v>
      </c>
      <c r="E121" t="s">
        <v>13</v>
      </c>
      <c r="F121" s="11">
        <v>44494</v>
      </c>
      <c r="G121" s="7" t="s">
        <v>9</v>
      </c>
      <c r="H121">
        <v>78540</v>
      </c>
      <c r="I121" s="9">
        <f ca="1">(TODAY()-Staff[[#This Row],[Date Joined]])/365</f>
        <v>3.1479452054794521</v>
      </c>
      <c r="J121" t="s">
        <v>206</v>
      </c>
      <c r="K121">
        <f ca="1">ROUNDUP(IF(Staff[[#This Row],[Tenure]]&gt;2,3%*Staff[[#This Row],[Salary]],0),0)</f>
        <v>2357</v>
      </c>
      <c r="L121">
        <f>_xlfn.XLOOKUP(Staff[[#This Row],[Rating]],$O$26:$O$30,$P$26:$P$30)</f>
        <v>3</v>
      </c>
    </row>
    <row r="122" spans="2:12" x14ac:dyDescent="0.35">
      <c r="B122" s="7" t="s">
        <v>54</v>
      </c>
      <c r="C122" s="7" t="s">
        <v>15</v>
      </c>
      <c r="D122">
        <v>28</v>
      </c>
      <c r="E122" t="s">
        <v>13</v>
      </c>
      <c r="F122" s="11">
        <v>44630</v>
      </c>
      <c r="G122" s="7" t="s">
        <v>12</v>
      </c>
      <c r="H122">
        <v>99970</v>
      </c>
      <c r="I122" s="9">
        <f ca="1">(TODAY()-Staff[[#This Row],[Date Joined]])/365</f>
        <v>2.7753424657534245</v>
      </c>
      <c r="J122" t="s">
        <v>206</v>
      </c>
      <c r="K122">
        <f ca="1">ROUNDUP(IF(Staff[[#This Row],[Tenure]]&gt;2,3%*Staff[[#This Row],[Salary]],0),0)</f>
        <v>3000</v>
      </c>
      <c r="L122">
        <f>_xlfn.XLOOKUP(Staff[[#This Row],[Rating]],$O$26:$O$30,$P$26:$P$30)</f>
        <v>3</v>
      </c>
    </row>
    <row r="123" spans="2:12" x14ac:dyDescent="0.35">
      <c r="B123" s="7" t="s">
        <v>55</v>
      </c>
      <c r="C123" s="7" t="s">
        <v>15</v>
      </c>
      <c r="D123">
        <v>33</v>
      </c>
      <c r="E123" t="s">
        <v>13</v>
      </c>
      <c r="F123" s="11">
        <v>44190</v>
      </c>
      <c r="G123" s="7" t="s">
        <v>23</v>
      </c>
      <c r="H123">
        <v>96140</v>
      </c>
      <c r="I123" s="9">
        <f ca="1">(TODAY()-Staff[[#This Row],[Date Joined]])/365</f>
        <v>3.9808219178082194</v>
      </c>
      <c r="J123" t="s">
        <v>206</v>
      </c>
      <c r="K123">
        <f ca="1">ROUNDUP(IF(Staff[[#This Row],[Tenure]]&gt;2,3%*Staff[[#This Row],[Salary]],0),0)</f>
        <v>2885</v>
      </c>
      <c r="L123">
        <f>_xlfn.XLOOKUP(Staff[[#This Row],[Rating]],$O$26:$O$30,$P$26:$P$30)</f>
        <v>3</v>
      </c>
    </row>
    <row r="124" spans="2:12" x14ac:dyDescent="0.35">
      <c r="B124" s="7" t="s">
        <v>56</v>
      </c>
      <c r="C124" s="7" t="s">
        <v>8</v>
      </c>
      <c r="D124">
        <v>31</v>
      </c>
      <c r="E124" t="s">
        <v>13</v>
      </c>
      <c r="F124" s="11">
        <v>44724</v>
      </c>
      <c r="G124" s="7" t="s">
        <v>12</v>
      </c>
      <c r="H124">
        <v>103550</v>
      </c>
      <c r="I124" s="9">
        <f ca="1">(TODAY()-Staff[[#This Row],[Date Joined]])/365</f>
        <v>2.5178082191780824</v>
      </c>
      <c r="J124" t="s">
        <v>206</v>
      </c>
      <c r="K124">
        <f ca="1">ROUNDUP(IF(Staff[[#This Row],[Tenure]]&gt;2,3%*Staff[[#This Row],[Salary]],0),0)</f>
        <v>3107</v>
      </c>
      <c r="L124">
        <f>_xlfn.XLOOKUP(Staff[[#This Row],[Rating]],$O$26:$O$30,$P$26:$P$30)</f>
        <v>3</v>
      </c>
    </row>
    <row r="125" spans="2:12" x14ac:dyDescent="0.35">
      <c r="B125" s="7" t="s">
        <v>57</v>
      </c>
      <c r="C125" s="7" t="s">
        <v>8</v>
      </c>
      <c r="D125">
        <v>31</v>
      </c>
      <c r="E125" t="s">
        <v>13</v>
      </c>
      <c r="F125" s="11">
        <v>44511</v>
      </c>
      <c r="G125" s="7" t="s">
        <v>23</v>
      </c>
      <c r="H125">
        <v>48950</v>
      </c>
      <c r="I125" s="9">
        <f ca="1">(TODAY()-Staff[[#This Row],[Date Joined]])/365</f>
        <v>3.1013698630136988</v>
      </c>
      <c r="J125" t="s">
        <v>206</v>
      </c>
      <c r="K125">
        <f ca="1">ROUNDUP(IF(Staff[[#This Row],[Tenure]]&gt;2,3%*Staff[[#This Row],[Salary]],0),0)</f>
        <v>1469</v>
      </c>
      <c r="L125">
        <f>_xlfn.XLOOKUP(Staff[[#This Row],[Rating]],$O$26:$O$30,$P$26:$P$30)</f>
        <v>3</v>
      </c>
    </row>
    <row r="126" spans="2:12" x14ac:dyDescent="0.35">
      <c r="B126" s="7" t="s">
        <v>59</v>
      </c>
      <c r="C126" s="7" t="s">
        <v>15</v>
      </c>
      <c r="D126">
        <v>36</v>
      </c>
      <c r="E126" t="s">
        <v>13</v>
      </c>
      <c r="F126" s="11">
        <v>44529</v>
      </c>
      <c r="G126" s="7" t="s">
        <v>12</v>
      </c>
      <c r="H126">
        <v>78390</v>
      </c>
      <c r="I126" s="9">
        <f ca="1">(TODAY()-Staff[[#This Row],[Date Joined]])/365</f>
        <v>3.0520547945205481</v>
      </c>
      <c r="J126" t="s">
        <v>206</v>
      </c>
      <c r="K126">
        <f ca="1">ROUNDUP(IF(Staff[[#This Row],[Tenure]]&gt;2,3%*Staff[[#This Row],[Salary]],0),0)</f>
        <v>2352</v>
      </c>
      <c r="L126">
        <f>_xlfn.XLOOKUP(Staff[[#This Row],[Rating]],$O$26:$O$30,$P$26:$P$30)</f>
        <v>3</v>
      </c>
    </row>
    <row r="127" spans="2:12" x14ac:dyDescent="0.35">
      <c r="B127" s="7" t="s">
        <v>60</v>
      </c>
      <c r="C127" s="7" t="s">
        <v>15</v>
      </c>
      <c r="D127">
        <v>33</v>
      </c>
      <c r="E127" t="s">
        <v>13</v>
      </c>
      <c r="F127" s="11">
        <v>44809</v>
      </c>
      <c r="G127" s="7" t="s">
        <v>17</v>
      </c>
      <c r="H127">
        <v>86570</v>
      </c>
      <c r="I127" s="9">
        <f ca="1">(TODAY()-Staff[[#This Row],[Date Joined]])/365</f>
        <v>2.2849315068493152</v>
      </c>
      <c r="J127" t="s">
        <v>206</v>
      </c>
      <c r="K127">
        <f ca="1">ROUNDUP(IF(Staff[[#This Row],[Tenure]]&gt;2,3%*Staff[[#This Row],[Salary]],0),0)</f>
        <v>2598</v>
      </c>
      <c r="L127">
        <f>_xlfn.XLOOKUP(Staff[[#This Row],[Rating]],$O$26:$O$30,$P$26:$P$30)</f>
        <v>3</v>
      </c>
    </row>
    <row r="128" spans="2:12" x14ac:dyDescent="0.35">
      <c r="B128" s="7" t="s">
        <v>61</v>
      </c>
      <c r="C128" s="7" t="s">
        <v>15</v>
      </c>
      <c r="D128">
        <v>27</v>
      </c>
      <c r="E128" t="s">
        <v>13</v>
      </c>
      <c r="F128" s="11">
        <v>44686</v>
      </c>
      <c r="G128" s="7" t="s">
        <v>23</v>
      </c>
      <c r="H128">
        <v>83750</v>
      </c>
      <c r="I128" s="9">
        <f ca="1">(TODAY()-Staff[[#This Row],[Date Joined]])/365</f>
        <v>2.6219178082191781</v>
      </c>
      <c r="J128" t="s">
        <v>206</v>
      </c>
      <c r="K128">
        <f ca="1">ROUNDUP(IF(Staff[[#This Row],[Tenure]]&gt;2,3%*Staff[[#This Row],[Salary]],0),0)</f>
        <v>2513</v>
      </c>
      <c r="L128">
        <f>_xlfn.XLOOKUP(Staff[[#This Row],[Rating]],$O$26:$O$30,$P$26:$P$30)</f>
        <v>3</v>
      </c>
    </row>
    <row r="129" spans="2:12" x14ac:dyDescent="0.35">
      <c r="B129" s="7" t="s">
        <v>62</v>
      </c>
      <c r="C129" s="7" t="s">
        <v>15</v>
      </c>
      <c r="D129">
        <v>34</v>
      </c>
      <c r="E129" t="s">
        <v>13</v>
      </c>
      <c r="F129" s="11">
        <v>44445</v>
      </c>
      <c r="G129" s="7" t="s">
        <v>17</v>
      </c>
      <c r="H129">
        <v>92450</v>
      </c>
      <c r="I129" s="9">
        <f ca="1">(TODAY()-Staff[[#This Row],[Date Joined]])/365</f>
        <v>3.2821917808219179</v>
      </c>
      <c r="J129" t="s">
        <v>206</v>
      </c>
      <c r="K129">
        <f ca="1">ROUNDUP(IF(Staff[[#This Row],[Tenure]]&gt;2,3%*Staff[[#This Row],[Salary]],0),0)</f>
        <v>2774</v>
      </c>
      <c r="L129">
        <f>_xlfn.XLOOKUP(Staff[[#This Row],[Rating]],$O$26:$O$30,$P$26:$P$30)</f>
        <v>3</v>
      </c>
    </row>
    <row r="130" spans="2:12" x14ac:dyDescent="0.35">
      <c r="B130" s="7" t="s">
        <v>63</v>
      </c>
      <c r="C130" s="7" t="s">
        <v>8</v>
      </c>
      <c r="D130">
        <v>20</v>
      </c>
      <c r="E130" t="s">
        <v>13</v>
      </c>
      <c r="F130" s="11">
        <v>44183</v>
      </c>
      <c r="G130" s="7" t="s">
        <v>23</v>
      </c>
      <c r="H130">
        <v>112650</v>
      </c>
      <c r="I130" s="9">
        <f ca="1">(TODAY()-Staff[[#This Row],[Date Joined]])/365</f>
        <v>4</v>
      </c>
      <c r="J130" t="s">
        <v>206</v>
      </c>
      <c r="K130">
        <f ca="1">ROUNDUP(IF(Staff[[#This Row],[Tenure]]&gt;2,3%*Staff[[#This Row],[Salary]],0),0)</f>
        <v>3380</v>
      </c>
      <c r="L130">
        <f>_xlfn.XLOOKUP(Staff[[#This Row],[Rating]],$O$26:$O$30,$P$26:$P$30)</f>
        <v>3</v>
      </c>
    </row>
    <row r="131" spans="2:12" x14ac:dyDescent="0.35">
      <c r="B131" s="7" t="s">
        <v>64</v>
      </c>
      <c r="C131" s="7" t="s">
        <v>8</v>
      </c>
      <c r="D131">
        <v>20</v>
      </c>
      <c r="E131" t="s">
        <v>13</v>
      </c>
      <c r="F131" s="11">
        <v>44744</v>
      </c>
      <c r="G131" s="7" t="s">
        <v>12</v>
      </c>
      <c r="H131">
        <v>79570</v>
      </c>
      <c r="I131" s="9">
        <f ca="1">(TODAY()-Staff[[#This Row],[Date Joined]])/365</f>
        <v>2.463013698630137</v>
      </c>
      <c r="J131" t="s">
        <v>206</v>
      </c>
      <c r="K131">
        <f ca="1">ROUNDUP(IF(Staff[[#This Row],[Tenure]]&gt;2,3%*Staff[[#This Row],[Salary]],0),0)</f>
        <v>2388</v>
      </c>
      <c r="L131">
        <f>_xlfn.XLOOKUP(Staff[[#This Row],[Rating]],$O$26:$O$30,$P$26:$P$30)</f>
        <v>3</v>
      </c>
    </row>
    <row r="132" spans="2:12" x14ac:dyDescent="0.35">
      <c r="B132" s="7" t="s">
        <v>67</v>
      </c>
      <c r="C132" s="7" t="s">
        <v>8</v>
      </c>
      <c r="D132">
        <v>19</v>
      </c>
      <c r="E132" t="s">
        <v>13</v>
      </c>
      <c r="F132" s="11">
        <v>44277</v>
      </c>
      <c r="G132" s="7" t="s">
        <v>12</v>
      </c>
      <c r="H132">
        <v>58960</v>
      </c>
      <c r="I132" s="9">
        <f ca="1">(TODAY()-Staff[[#This Row],[Date Joined]])/365</f>
        <v>3.7424657534246575</v>
      </c>
      <c r="J132" t="s">
        <v>206</v>
      </c>
      <c r="K132">
        <f ca="1">ROUNDUP(IF(Staff[[#This Row],[Tenure]]&gt;2,3%*Staff[[#This Row],[Salary]],0),0)</f>
        <v>1769</v>
      </c>
      <c r="L132">
        <f>_xlfn.XLOOKUP(Staff[[#This Row],[Rating]],$O$26:$O$30,$P$26:$P$30)</f>
        <v>3</v>
      </c>
    </row>
    <row r="133" spans="2:12" x14ac:dyDescent="0.35">
      <c r="B133" s="7" t="s">
        <v>68</v>
      </c>
      <c r="C133" s="7" t="s">
        <v>8</v>
      </c>
      <c r="D133">
        <v>36</v>
      </c>
      <c r="E133" t="s">
        <v>13</v>
      </c>
      <c r="F133" s="11">
        <v>44019</v>
      </c>
      <c r="G133" s="7" t="s">
        <v>23</v>
      </c>
      <c r="H133">
        <v>118840</v>
      </c>
      <c r="I133" s="9">
        <f ca="1">(TODAY()-Staff[[#This Row],[Date Joined]])/365</f>
        <v>4.4493150684931511</v>
      </c>
      <c r="J133" t="s">
        <v>206</v>
      </c>
      <c r="K133">
        <f ca="1">ROUNDUP(IF(Staff[[#This Row],[Tenure]]&gt;2,3%*Staff[[#This Row],[Salary]],0),0)</f>
        <v>3566</v>
      </c>
      <c r="L133">
        <f>_xlfn.XLOOKUP(Staff[[#This Row],[Rating]],$O$26:$O$30,$P$26:$P$30)</f>
        <v>3</v>
      </c>
    </row>
    <row r="134" spans="2:12" x14ac:dyDescent="0.35">
      <c r="B134" s="7" t="s">
        <v>70</v>
      </c>
      <c r="C134" s="7" t="s">
        <v>15</v>
      </c>
      <c r="D134">
        <v>32</v>
      </c>
      <c r="E134" t="s">
        <v>13</v>
      </c>
      <c r="F134" s="11">
        <v>44400</v>
      </c>
      <c r="G134" s="7" t="s">
        <v>26</v>
      </c>
      <c r="H134">
        <v>45510</v>
      </c>
      <c r="I134" s="9">
        <f ca="1">(TODAY()-Staff[[#This Row],[Date Joined]])/365</f>
        <v>3.4054794520547946</v>
      </c>
      <c r="J134" t="s">
        <v>206</v>
      </c>
      <c r="K134">
        <f ca="1">ROUNDUP(IF(Staff[[#This Row],[Tenure]]&gt;2,3%*Staff[[#This Row],[Salary]],0),0)</f>
        <v>1366</v>
      </c>
      <c r="L134">
        <f>_xlfn.XLOOKUP(Staff[[#This Row],[Rating]],$O$26:$O$30,$P$26:$P$30)</f>
        <v>3</v>
      </c>
    </row>
    <row r="135" spans="2:12" x14ac:dyDescent="0.35">
      <c r="B135" s="7" t="s">
        <v>71</v>
      </c>
      <c r="C135" s="7" t="s">
        <v>15</v>
      </c>
      <c r="D135">
        <v>36</v>
      </c>
      <c r="E135" t="s">
        <v>13</v>
      </c>
      <c r="F135" s="11">
        <v>44085</v>
      </c>
      <c r="G135" s="7" t="s">
        <v>12</v>
      </c>
      <c r="H135">
        <v>114890</v>
      </c>
      <c r="I135" s="9">
        <f ca="1">(TODAY()-Staff[[#This Row],[Date Joined]])/365</f>
        <v>4.2684931506849315</v>
      </c>
      <c r="J135" t="s">
        <v>206</v>
      </c>
      <c r="K135">
        <f ca="1">ROUNDUP(IF(Staff[[#This Row],[Tenure]]&gt;2,3%*Staff[[#This Row],[Salary]],0),0)</f>
        <v>3447</v>
      </c>
      <c r="L135">
        <f>_xlfn.XLOOKUP(Staff[[#This Row],[Rating]],$O$26:$O$30,$P$26:$P$30)</f>
        <v>3</v>
      </c>
    </row>
    <row r="136" spans="2:12" x14ac:dyDescent="0.35">
      <c r="B136" s="7" t="s">
        <v>72</v>
      </c>
      <c r="C136" s="7" t="s">
        <v>8</v>
      </c>
      <c r="D136">
        <v>30</v>
      </c>
      <c r="E136" t="s">
        <v>13</v>
      </c>
      <c r="F136" s="11">
        <v>44850</v>
      </c>
      <c r="G136" s="7" t="s">
        <v>23</v>
      </c>
      <c r="H136">
        <v>69710</v>
      </c>
      <c r="I136" s="9">
        <f ca="1">(TODAY()-Staff[[#This Row],[Date Joined]])/365</f>
        <v>2.1726027397260275</v>
      </c>
      <c r="J136" t="s">
        <v>206</v>
      </c>
      <c r="K136">
        <f ca="1">ROUNDUP(IF(Staff[[#This Row],[Tenure]]&gt;2,3%*Staff[[#This Row],[Salary]],0),0)</f>
        <v>2092</v>
      </c>
      <c r="L136">
        <f>_xlfn.XLOOKUP(Staff[[#This Row],[Rating]],$O$26:$O$30,$P$26:$P$30)</f>
        <v>3</v>
      </c>
    </row>
    <row r="137" spans="2:12" x14ac:dyDescent="0.35">
      <c r="B137" s="7" t="s">
        <v>73</v>
      </c>
      <c r="C137" s="7" t="s">
        <v>8</v>
      </c>
      <c r="D137">
        <v>36</v>
      </c>
      <c r="E137" t="s">
        <v>13</v>
      </c>
      <c r="F137" s="11">
        <v>44333</v>
      </c>
      <c r="G137" s="7" t="s">
        <v>17</v>
      </c>
      <c r="H137">
        <v>71380</v>
      </c>
      <c r="I137" s="9">
        <f ca="1">(TODAY()-Staff[[#This Row],[Date Joined]])/365</f>
        <v>3.5890410958904111</v>
      </c>
      <c r="J137" t="s">
        <v>206</v>
      </c>
      <c r="K137">
        <f ca="1">ROUNDUP(IF(Staff[[#This Row],[Tenure]]&gt;2,3%*Staff[[#This Row],[Salary]],0),0)</f>
        <v>2142</v>
      </c>
      <c r="L137">
        <f>_xlfn.XLOOKUP(Staff[[#This Row],[Rating]],$O$26:$O$30,$P$26:$P$30)</f>
        <v>3</v>
      </c>
    </row>
    <row r="138" spans="2:12" x14ac:dyDescent="0.35">
      <c r="B138" s="7" t="s">
        <v>76</v>
      </c>
      <c r="C138" s="7" t="s">
        <v>8</v>
      </c>
      <c r="D138">
        <v>30</v>
      </c>
      <c r="E138" t="s">
        <v>13</v>
      </c>
      <c r="F138" s="11">
        <v>44273</v>
      </c>
      <c r="G138" s="7" t="s">
        <v>23</v>
      </c>
      <c r="H138">
        <v>69120</v>
      </c>
      <c r="I138" s="9">
        <f ca="1">(TODAY()-Staff[[#This Row],[Date Joined]])/365</f>
        <v>3.7534246575342465</v>
      </c>
      <c r="J138" t="s">
        <v>206</v>
      </c>
      <c r="K138">
        <f ca="1">ROUNDUP(IF(Staff[[#This Row],[Tenure]]&gt;2,3%*Staff[[#This Row],[Salary]],0),0)</f>
        <v>2074</v>
      </c>
      <c r="L138">
        <f>_xlfn.XLOOKUP(Staff[[#This Row],[Rating]],$O$26:$O$30,$P$26:$P$30)</f>
        <v>3</v>
      </c>
    </row>
    <row r="139" spans="2:12" x14ac:dyDescent="0.35">
      <c r="B139" s="7" t="s">
        <v>77</v>
      </c>
      <c r="C139" s="7" t="s">
        <v>15</v>
      </c>
      <c r="D139">
        <v>37</v>
      </c>
      <c r="E139" t="s">
        <v>13</v>
      </c>
      <c r="F139" s="11">
        <v>44451</v>
      </c>
      <c r="G139" s="7" t="s">
        <v>26</v>
      </c>
      <c r="H139">
        <v>118100</v>
      </c>
      <c r="I139" s="9">
        <f ca="1">(TODAY()-Staff[[#This Row],[Date Joined]])/365</f>
        <v>3.2657534246575342</v>
      </c>
      <c r="J139" t="s">
        <v>206</v>
      </c>
      <c r="K139">
        <f ca="1">ROUNDUP(IF(Staff[[#This Row],[Tenure]]&gt;2,3%*Staff[[#This Row],[Salary]],0),0)</f>
        <v>3543</v>
      </c>
      <c r="L139">
        <f>_xlfn.XLOOKUP(Staff[[#This Row],[Rating]],$O$26:$O$30,$P$26:$P$30)</f>
        <v>3</v>
      </c>
    </row>
    <row r="140" spans="2:12" x14ac:dyDescent="0.35">
      <c r="B140" s="7" t="s">
        <v>79</v>
      </c>
      <c r="C140" s="7" t="s">
        <v>15</v>
      </c>
      <c r="D140">
        <v>43</v>
      </c>
      <c r="E140" t="s">
        <v>13</v>
      </c>
      <c r="F140" s="11">
        <v>45045</v>
      </c>
      <c r="G140" s="7" t="s">
        <v>23</v>
      </c>
      <c r="H140">
        <v>114870</v>
      </c>
      <c r="I140" s="9">
        <f ca="1">(TODAY()-Staff[[#This Row],[Date Joined]])/365</f>
        <v>1.6383561643835616</v>
      </c>
      <c r="J140" t="s">
        <v>206</v>
      </c>
      <c r="K140">
        <f ca="1">ROUNDUP(IF(Staff[[#This Row],[Tenure]]&gt;2,3%*Staff[[#This Row],[Salary]],0),0)</f>
        <v>0</v>
      </c>
      <c r="L140">
        <f>_xlfn.XLOOKUP(Staff[[#This Row],[Rating]],$O$26:$O$30,$P$26:$P$30)</f>
        <v>3</v>
      </c>
    </row>
    <row r="141" spans="2:12" x14ac:dyDescent="0.35">
      <c r="B141" s="7" t="s">
        <v>80</v>
      </c>
      <c r="C141" s="7" t="s">
        <v>205</v>
      </c>
      <c r="D141">
        <v>32</v>
      </c>
      <c r="E141" t="s">
        <v>13</v>
      </c>
      <c r="F141" s="11">
        <v>44774</v>
      </c>
      <c r="G141" s="7" t="s">
        <v>23</v>
      </c>
      <c r="H141">
        <v>91310</v>
      </c>
      <c r="I141" s="9">
        <f ca="1">(TODAY()-Staff[[#This Row],[Date Joined]])/365</f>
        <v>2.3808219178082193</v>
      </c>
      <c r="J141" t="s">
        <v>206</v>
      </c>
      <c r="K141">
        <f ca="1">ROUNDUP(IF(Staff[[#This Row],[Tenure]]&gt;2,3%*Staff[[#This Row],[Salary]],0),0)</f>
        <v>2740</v>
      </c>
      <c r="L141">
        <f>_xlfn.XLOOKUP(Staff[[#This Row],[Rating]],$O$26:$O$30,$P$26:$P$30)</f>
        <v>3</v>
      </c>
    </row>
    <row r="142" spans="2:12" x14ac:dyDescent="0.35">
      <c r="B142" s="7" t="s">
        <v>81</v>
      </c>
      <c r="C142" s="7" t="s">
        <v>15</v>
      </c>
      <c r="D142">
        <v>28</v>
      </c>
      <c r="E142" t="s">
        <v>13</v>
      </c>
      <c r="F142" s="11">
        <v>44486</v>
      </c>
      <c r="G142" s="7" t="s">
        <v>12</v>
      </c>
      <c r="H142">
        <v>104770</v>
      </c>
      <c r="I142" s="9">
        <f ca="1">(TODAY()-Staff[[#This Row],[Date Joined]])/365</f>
        <v>3.1698630136986301</v>
      </c>
      <c r="J142" t="s">
        <v>206</v>
      </c>
      <c r="K142">
        <f ca="1">ROUNDUP(IF(Staff[[#This Row],[Tenure]]&gt;2,3%*Staff[[#This Row],[Salary]],0),0)</f>
        <v>3144</v>
      </c>
      <c r="L142">
        <f>_xlfn.XLOOKUP(Staff[[#This Row],[Rating]],$O$26:$O$30,$P$26:$P$30)</f>
        <v>3</v>
      </c>
    </row>
    <row r="143" spans="2:12" x14ac:dyDescent="0.35">
      <c r="B143" s="7" t="s">
        <v>82</v>
      </c>
      <c r="C143" s="7" t="s">
        <v>8</v>
      </c>
      <c r="D143">
        <v>27</v>
      </c>
      <c r="E143" t="s">
        <v>13</v>
      </c>
      <c r="F143" s="11">
        <v>44134</v>
      </c>
      <c r="G143" s="7" t="s">
        <v>9</v>
      </c>
      <c r="H143">
        <v>54970</v>
      </c>
      <c r="I143" s="9">
        <f ca="1">(TODAY()-Staff[[#This Row],[Date Joined]])/365</f>
        <v>4.1342465753424653</v>
      </c>
      <c r="J143" t="s">
        <v>206</v>
      </c>
      <c r="K143">
        <f ca="1">ROUNDUP(IF(Staff[[#This Row],[Tenure]]&gt;2,3%*Staff[[#This Row],[Salary]],0),0)</f>
        <v>1650</v>
      </c>
      <c r="L143">
        <f>_xlfn.XLOOKUP(Staff[[#This Row],[Rating]],$O$26:$O$30,$P$26:$P$30)</f>
        <v>3</v>
      </c>
    </row>
    <row r="144" spans="2:12" x14ac:dyDescent="0.35">
      <c r="B144" s="7" t="s">
        <v>85</v>
      </c>
      <c r="C144" s="7" t="s">
        <v>15</v>
      </c>
      <c r="D144">
        <v>25</v>
      </c>
      <c r="E144" t="s">
        <v>13</v>
      </c>
      <c r="F144" s="11">
        <v>44205</v>
      </c>
      <c r="G144" s="7" t="s">
        <v>9</v>
      </c>
      <c r="H144">
        <v>92700</v>
      </c>
      <c r="I144" s="9">
        <f ca="1">(TODAY()-Staff[[#This Row],[Date Joined]])/365</f>
        <v>3.9397260273972603</v>
      </c>
      <c r="J144" t="s">
        <v>206</v>
      </c>
      <c r="K144">
        <f ca="1">ROUNDUP(IF(Staff[[#This Row],[Tenure]]&gt;2,3%*Staff[[#This Row],[Salary]],0),0)</f>
        <v>2781</v>
      </c>
      <c r="L144">
        <f>_xlfn.XLOOKUP(Staff[[#This Row],[Rating]],$O$26:$O$30,$P$26:$P$30)</f>
        <v>3</v>
      </c>
    </row>
    <row r="145" spans="2:12" x14ac:dyDescent="0.35">
      <c r="B145" s="7" t="s">
        <v>86</v>
      </c>
      <c r="C145" s="7" t="s">
        <v>15</v>
      </c>
      <c r="D145">
        <v>21</v>
      </c>
      <c r="E145" t="s">
        <v>13</v>
      </c>
      <c r="F145" s="11">
        <v>44317</v>
      </c>
      <c r="G145" s="7" t="s">
        <v>17</v>
      </c>
      <c r="H145">
        <v>65920</v>
      </c>
      <c r="I145" s="9">
        <f ca="1">(TODAY()-Staff[[#This Row],[Date Joined]])/365</f>
        <v>3.6328767123287671</v>
      </c>
      <c r="J145" t="s">
        <v>206</v>
      </c>
      <c r="K145">
        <f ca="1">ROUNDUP(IF(Staff[[#This Row],[Tenure]]&gt;2,3%*Staff[[#This Row],[Salary]],0),0)</f>
        <v>1978</v>
      </c>
      <c r="L145">
        <f>_xlfn.XLOOKUP(Staff[[#This Row],[Rating]],$O$26:$O$30,$P$26:$P$30)</f>
        <v>3</v>
      </c>
    </row>
    <row r="146" spans="2:12" x14ac:dyDescent="0.35">
      <c r="B146" s="7" t="s">
        <v>87</v>
      </c>
      <c r="C146" s="7" t="s">
        <v>8</v>
      </c>
      <c r="D146">
        <v>26</v>
      </c>
      <c r="E146" t="s">
        <v>13</v>
      </c>
      <c r="F146" s="11">
        <v>44225</v>
      </c>
      <c r="G146" s="7" t="s">
        <v>12</v>
      </c>
      <c r="H146">
        <v>47360</v>
      </c>
      <c r="I146" s="9">
        <f ca="1">(TODAY()-Staff[[#This Row],[Date Joined]])/365</f>
        <v>3.8849315068493149</v>
      </c>
      <c r="J146" t="s">
        <v>206</v>
      </c>
      <c r="K146">
        <f ca="1">ROUNDUP(IF(Staff[[#This Row],[Tenure]]&gt;2,3%*Staff[[#This Row],[Salary]],0),0)</f>
        <v>1421</v>
      </c>
      <c r="L146">
        <f>_xlfn.XLOOKUP(Staff[[#This Row],[Rating]],$O$26:$O$30,$P$26:$P$30)</f>
        <v>3</v>
      </c>
    </row>
    <row r="147" spans="2:12" x14ac:dyDescent="0.35">
      <c r="B147" s="7" t="s">
        <v>88</v>
      </c>
      <c r="C147" s="7" t="s">
        <v>8</v>
      </c>
      <c r="D147">
        <v>30</v>
      </c>
      <c r="E147" t="s">
        <v>13</v>
      </c>
      <c r="F147" s="11">
        <v>44666</v>
      </c>
      <c r="G147" s="7" t="s">
        <v>12</v>
      </c>
      <c r="H147">
        <v>60570</v>
      </c>
      <c r="I147" s="9">
        <f ca="1">(TODAY()-Staff[[#This Row],[Date Joined]])/365</f>
        <v>2.6767123287671235</v>
      </c>
      <c r="J147" t="s">
        <v>206</v>
      </c>
      <c r="K147">
        <f ca="1">ROUNDUP(IF(Staff[[#This Row],[Tenure]]&gt;2,3%*Staff[[#This Row],[Salary]],0),0)</f>
        <v>1818</v>
      </c>
      <c r="L147">
        <f>_xlfn.XLOOKUP(Staff[[#This Row],[Rating]],$O$26:$O$30,$P$26:$P$30)</f>
        <v>3</v>
      </c>
    </row>
    <row r="148" spans="2:12" x14ac:dyDescent="0.35">
      <c r="B148" s="7" t="s">
        <v>89</v>
      </c>
      <c r="C148" s="7" t="s">
        <v>15</v>
      </c>
      <c r="D148">
        <v>28</v>
      </c>
      <c r="E148" t="s">
        <v>13</v>
      </c>
      <c r="F148" s="11">
        <v>44649</v>
      </c>
      <c r="G148" s="7" t="s">
        <v>12</v>
      </c>
      <c r="H148">
        <v>104120</v>
      </c>
      <c r="I148" s="9">
        <f ca="1">(TODAY()-Staff[[#This Row],[Date Joined]])/365</f>
        <v>2.7232876712328768</v>
      </c>
      <c r="J148" t="s">
        <v>206</v>
      </c>
      <c r="K148">
        <f ca="1">ROUNDUP(IF(Staff[[#This Row],[Tenure]]&gt;2,3%*Staff[[#This Row],[Salary]],0),0)</f>
        <v>3124</v>
      </c>
      <c r="L148">
        <f>_xlfn.XLOOKUP(Staff[[#This Row],[Rating]],$O$26:$O$30,$P$26:$P$30)</f>
        <v>3</v>
      </c>
    </row>
    <row r="149" spans="2:12" x14ac:dyDescent="0.35">
      <c r="B149" s="7" t="s">
        <v>91</v>
      </c>
      <c r="C149" s="7" t="s">
        <v>8</v>
      </c>
      <c r="D149">
        <v>24</v>
      </c>
      <c r="E149" t="s">
        <v>13</v>
      </c>
      <c r="F149" s="11">
        <v>44686</v>
      </c>
      <c r="G149" s="7" t="s">
        <v>23</v>
      </c>
      <c r="H149">
        <v>100420</v>
      </c>
      <c r="I149" s="9">
        <f ca="1">(TODAY()-Staff[[#This Row],[Date Joined]])/365</f>
        <v>2.6219178082191781</v>
      </c>
      <c r="J149" t="s">
        <v>206</v>
      </c>
      <c r="K149">
        <f ca="1">ROUNDUP(IF(Staff[[#This Row],[Tenure]]&gt;2,3%*Staff[[#This Row],[Salary]],0),0)</f>
        <v>3013</v>
      </c>
      <c r="L149">
        <f>_xlfn.XLOOKUP(Staff[[#This Row],[Rating]],$O$26:$O$30,$P$26:$P$30)</f>
        <v>3</v>
      </c>
    </row>
    <row r="150" spans="2:12" x14ac:dyDescent="0.35">
      <c r="B150" s="7" t="s">
        <v>92</v>
      </c>
      <c r="C150" s="7" t="s">
        <v>15</v>
      </c>
      <c r="D150">
        <v>30</v>
      </c>
      <c r="E150" t="s">
        <v>13</v>
      </c>
      <c r="F150" s="11">
        <v>44850</v>
      </c>
      <c r="G150" s="7" t="s">
        <v>12</v>
      </c>
      <c r="H150">
        <v>114180</v>
      </c>
      <c r="I150" s="9">
        <f ca="1">(TODAY()-Staff[[#This Row],[Date Joined]])/365</f>
        <v>2.1726027397260275</v>
      </c>
      <c r="J150" t="s">
        <v>206</v>
      </c>
      <c r="K150">
        <f ca="1">ROUNDUP(IF(Staff[[#This Row],[Tenure]]&gt;2,3%*Staff[[#This Row],[Salary]],0),0)</f>
        <v>3426</v>
      </c>
      <c r="L150">
        <f>_xlfn.XLOOKUP(Staff[[#This Row],[Rating]],$O$26:$O$30,$P$26:$P$30)</f>
        <v>3</v>
      </c>
    </row>
    <row r="151" spans="2:12" x14ac:dyDescent="0.35">
      <c r="B151" s="7" t="s">
        <v>93</v>
      </c>
      <c r="C151" s="7" t="s">
        <v>15</v>
      </c>
      <c r="D151">
        <v>21</v>
      </c>
      <c r="E151" t="s">
        <v>13</v>
      </c>
      <c r="F151" s="11">
        <v>44678</v>
      </c>
      <c r="G151" s="7" t="s">
        <v>23</v>
      </c>
      <c r="H151">
        <v>33920</v>
      </c>
      <c r="I151" s="9">
        <f ca="1">(TODAY()-Staff[[#This Row],[Date Joined]])/365</f>
        <v>2.6438356164383561</v>
      </c>
      <c r="J151" t="s">
        <v>206</v>
      </c>
      <c r="K151">
        <f ca="1">ROUNDUP(IF(Staff[[#This Row],[Tenure]]&gt;2,3%*Staff[[#This Row],[Salary]],0),0)</f>
        <v>1018</v>
      </c>
      <c r="L151">
        <f>_xlfn.XLOOKUP(Staff[[#This Row],[Rating]],$O$26:$O$30,$P$26:$P$30)</f>
        <v>3</v>
      </c>
    </row>
    <row r="152" spans="2:12" x14ac:dyDescent="0.35">
      <c r="B152" s="7" t="s">
        <v>94</v>
      </c>
      <c r="C152" s="7" t="s">
        <v>8</v>
      </c>
      <c r="D152">
        <v>23</v>
      </c>
      <c r="E152" t="s">
        <v>13</v>
      </c>
      <c r="F152" s="11">
        <v>44440</v>
      </c>
      <c r="G152" s="7" t="s">
        <v>12</v>
      </c>
      <c r="H152">
        <v>106460</v>
      </c>
      <c r="I152" s="9">
        <f ca="1">(TODAY()-Staff[[#This Row],[Date Joined]])/365</f>
        <v>3.2958904109589042</v>
      </c>
      <c r="J152" t="s">
        <v>206</v>
      </c>
      <c r="K152">
        <f ca="1">ROUNDUP(IF(Staff[[#This Row],[Tenure]]&gt;2,3%*Staff[[#This Row],[Salary]],0),0)</f>
        <v>3194</v>
      </c>
      <c r="L152">
        <f>_xlfn.XLOOKUP(Staff[[#This Row],[Rating]],$O$26:$O$30,$P$26:$P$30)</f>
        <v>3</v>
      </c>
    </row>
    <row r="153" spans="2:12" x14ac:dyDescent="0.35">
      <c r="B153" s="7" t="s">
        <v>95</v>
      </c>
      <c r="C153" s="7" t="s">
        <v>8</v>
      </c>
      <c r="D153">
        <v>35</v>
      </c>
      <c r="E153" t="s">
        <v>13</v>
      </c>
      <c r="F153" s="11">
        <v>44727</v>
      </c>
      <c r="G153" s="7" t="s">
        <v>12</v>
      </c>
      <c r="H153">
        <v>40400</v>
      </c>
      <c r="I153" s="9">
        <f ca="1">(TODAY()-Staff[[#This Row],[Date Joined]])/365</f>
        <v>2.5095890410958903</v>
      </c>
      <c r="J153" t="s">
        <v>206</v>
      </c>
      <c r="K153">
        <f ca="1">ROUNDUP(IF(Staff[[#This Row],[Tenure]]&gt;2,3%*Staff[[#This Row],[Salary]],0),0)</f>
        <v>1212</v>
      </c>
      <c r="L153">
        <f>_xlfn.XLOOKUP(Staff[[#This Row],[Rating]],$O$26:$O$30,$P$26:$P$30)</f>
        <v>3</v>
      </c>
    </row>
    <row r="154" spans="2:12" x14ac:dyDescent="0.35">
      <c r="B154" s="7" t="s">
        <v>97</v>
      </c>
      <c r="C154" s="7" t="s">
        <v>8</v>
      </c>
      <c r="D154">
        <v>43</v>
      </c>
      <c r="E154" t="s">
        <v>13</v>
      </c>
      <c r="F154" s="11">
        <v>44620</v>
      </c>
      <c r="G154" s="7" t="s">
        <v>9</v>
      </c>
      <c r="H154">
        <v>36040</v>
      </c>
      <c r="I154" s="9">
        <f ca="1">(TODAY()-Staff[[#This Row],[Date Joined]])/365</f>
        <v>2.8027397260273972</v>
      </c>
      <c r="J154" t="s">
        <v>206</v>
      </c>
      <c r="K154">
        <f ca="1">ROUNDUP(IF(Staff[[#This Row],[Tenure]]&gt;2,3%*Staff[[#This Row],[Salary]],0),0)</f>
        <v>1082</v>
      </c>
      <c r="L154">
        <f>_xlfn.XLOOKUP(Staff[[#This Row],[Rating]],$O$26:$O$30,$P$26:$P$30)</f>
        <v>3</v>
      </c>
    </row>
    <row r="155" spans="2:12" x14ac:dyDescent="0.35">
      <c r="B155" s="7" t="s">
        <v>98</v>
      </c>
      <c r="C155" s="7" t="s">
        <v>15</v>
      </c>
      <c r="D155">
        <v>40</v>
      </c>
      <c r="E155" t="s">
        <v>13</v>
      </c>
      <c r="F155" s="11">
        <v>44381</v>
      </c>
      <c r="G155" s="7" t="s">
        <v>23</v>
      </c>
      <c r="H155">
        <v>104410</v>
      </c>
      <c r="I155" s="9">
        <f ca="1">(TODAY()-Staff[[#This Row],[Date Joined]])/365</f>
        <v>3.4575342465753423</v>
      </c>
      <c r="J155" t="s">
        <v>206</v>
      </c>
      <c r="K155">
        <f ca="1">ROUNDUP(IF(Staff[[#This Row],[Tenure]]&gt;2,3%*Staff[[#This Row],[Salary]],0),0)</f>
        <v>3133</v>
      </c>
      <c r="L155">
        <f>_xlfn.XLOOKUP(Staff[[#This Row],[Rating]],$O$26:$O$30,$P$26:$P$30)</f>
        <v>3</v>
      </c>
    </row>
    <row r="156" spans="2:12" x14ac:dyDescent="0.35">
      <c r="B156" s="7" t="s">
        <v>99</v>
      </c>
      <c r="C156" s="7" t="s">
        <v>8</v>
      </c>
      <c r="D156">
        <v>30</v>
      </c>
      <c r="E156" t="s">
        <v>13</v>
      </c>
      <c r="F156" s="11">
        <v>44606</v>
      </c>
      <c r="G156" s="7" t="s">
        <v>17</v>
      </c>
      <c r="H156">
        <v>96800</v>
      </c>
      <c r="I156" s="9">
        <f ca="1">(TODAY()-Staff[[#This Row],[Date Joined]])/365</f>
        <v>2.8410958904109589</v>
      </c>
      <c r="J156" t="s">
        <v>206</v>
      </c>
      <c r="K156">
        <f ca="1">ROUNDUP(IF(Staff[[#This Row],[Tenure]]&gt;2,3%*Staff[[#This Row],[Salary]],0),0)</f>
        <v>2904</v>
      </c>
      <c r="L156">
        <f>_xlfn.XLOOKUP(Staff[[#This Row],[Rating]],$O$26:$O$30,$P$26:$P$30)</f>
        <v>3</v>
      </c>
    </row>
    <row r="157" spans="2:12" x14ac:dyDescent="0.35">
      <c r="B157" s="7" t="s">
        <v>100</v>
      </c>
      <c r="C157" s="7" t="s">
        <v>15</v>
      </c>
      <c r="D157">
        <v>34</v>
      </c>
      <c r="E157" t="s">
        <v>13</v>
      </c>
      <c r="F157" s="11">
        <v>44459</v>
      </c>
      <c r="G157" s="7" t="s">
        <v>17</v>
      </c>
      <c r="H157">
        <v>85000</v>
      </c>
      <c r="I157" s="9">
        <f ca="1">(TODAY()-Staff[[#This Row],[Date Joined]])/365</f>
        <v>3.2438356164383562</v>
      </c>
      <c r="J157" t="s">
        <v>206</v>
      </c>
      <c r="K157">
        <f ca="1">ROUNDUP(IF(Staff[[#This Row],[Tenure]]&gt;2,3%*Staff[[#This Row],[Salary]],0),0)</f>
        <v>2550</v>
      </c>
      <c r="L157">
        <f>_xlfn.XLOOKUP(Staff[[#This Row],[Rating]],$O$26:$O$30,$P$26:$P$30)</f>
        <v>3</v>
      </c>
    </row>
    <row r="158" spans="2:12" x14ac:dyDescent="0.35">
      <c r="B158" s="7" t="s">
        <v>102</v>
      </c>
      <c r="C158" s="7" t="s">
        <v>8</v>
      </c>
      <c r="D158">
        <v>33</v>
      </c>
      <c r="E158" t="s">
        <v>13</v>
      </c>
      <c r="F158" s="11">
        <v>44243</v>
      </c>
      <c r="G158" s="7" t="s">
        <v>17</v>
      </c>
      <c r="H158">
        <v>59430</v>
      </c>
      <c r="I158" s="9">
        <f ca="1">(TODAY()-Staff[[#This Row],[Date Joined]])/365</f>
        <v>3.8356164383561642</v>
      </c>
      <c r="J158" t="s">
        <v>206</v>
      </c>
      <c r="K158">
        <f ca="1">ROUNDUP(IF(Staff[[#This Row],[Tenure]]&gt;2,3%*Staff[[#This Row],[Salary]],0),0)</f>
        <v>1783</v>
      </c>
      <c r="L158">
        <f>_xlfn.XLOOKUP(Staff[[#This Row],[Rating]],$O$26:$O$30,$P$26:$P$30)</f>
        <v>3</v>
      </c>
    </row>
    <row r="159" spans="2:12" x14ac:dyDescent="0.35">
      <c r="B159" s="7" t="s">
        <v>103</v>
      </c>
      <c r="C159" s="7" t="s">
        <v>15</v>
      </c>
      <c r="D159">
        <v>33</v>
      </c>
      <c r="E159" t="s">
        <v>13</v>
      </c>
      <c r="F159" s="11">
        <v>44067</v>
      </c>
      <c r="G159" s="7" t="s">
        <v>17</v>
      </c>
      <c r="H159">
        <v>65360</v>
      </c>
      <c r="I159" s="9">
        <f ca="1">(TODAY()-Staff[[#This Row],[Date Joined]])/365</f>
        <v>4.3178082191780822</v>
      </c>
      <c r="J159" t="s">
        <v>206</v>
      </c>
      <c r="K159">
        <f ca="1">ROUNDUP(IF(Staff[[#This Row],[Tenure]]&gt;2,3%*Staff[[#This Row],[Salary]],0),0)</f>
        <v>1961</v>
      </c>
      <c r="L159">
        <f>_xlfn.XLOOKUP(Staff[[#This Row],[Rating]],$O$26:$O$30,$P$26:$P$30)</f>
        <v>3</v>
      </c>
    </row>
    <row r="160" spans="2:12" x14ac:dyDescent="0.35">
      <c r="B160" s="7" t="s">
        <v>104</v>
      </c>
      <c r="C160" s="7" t="s">
        <v>15</v>
      </c>
      <c r="D160">
        <v>32</v>
      </c>
      <c r="E160" t="s">
        <v>13</v>
      </c>
      <c r="F160" s="11">
        <v>44611</v>
      </c>
      <c r="G160" s="7" t="s">
        <v>12</v>
      </c>
      <c r="H160">
        <v>41570</v>
      </c>
      <c r="I160" s="9">
        <f ca="1">(TODAY()-Staff[[#This Row],[Date Joined]])/365</f>
        <v>2.8273972602739725</v>
      </c>
      <c r="J160" t="s">
        <v>206</v>
      </c>
      <c r="K160">
        <f ca="1">ROUNDUP(IF(Staff[[#This Row],[Tenure]]&gt;2,3%*Staff[[#This Row],[Salary]],0),0)</f>
        <v>1248</v>
      </c>
      <c r="L160">
        <f>_xlfn.XLOOKUP(Staff[[#This Row],[Rating]],$O$26:$O$30,$P$26:$P$30)</f>
        <v>3</v>
      </c>
    </row>
    <row r="161" spans="2:12" x14ac:dyDescent="0.35">
      <c r="B161" s="7" t="s">
        <v>105</v>
      </c>
      <c r="C161" s="7" t="s">
        <v>15</v>
      </c>
      <c r="D161">
        <v>33</v>
      </c>
      <c r="E161" t="s">
        <v>13</v>
      </c>
      <c r="F161" s="11">
        <v>44312</v>
      </c>
      <c r="G161" s="7" t="s">
        <v>23</v>
      </c>
      <c r="H161">
        <v>75280</v>
      </c>
      <c r="I161" s="9">
        <f ca="1">(TODAY()-Staff[[#This Row],[Date Joined]])/365</f>
        <v>3.6465753424657534</v>
      </c>
      <c r="J161" t="s">
        <v>206</v>
      </c>
      <c r="K161">
        <f ca="1">ROUNDUP(IF(Staff[[#This Row],[Tenure]]&gt;2,3%*Staff[[#This Row],[Salary]],0),0)</f>
        <v>2259</v>
      </c>
      <c r="L161">
        <f>_xlfn.XLOOKUP(Staff[[#This Row],[Rating]],$O$26:$O$30,$P$26:$P$30)</f>
        <v>3</v>
      </c>
    </row>
    <row r="162" spans="2:12" x14ac:dyDescent="0.35">
      <c r="B162" s="7" t="s">
        <v>106</v>
      </c>
      <c r="C162" s="7" t="s">
        <v>8</v>
      </c>
      <c r="D162">
        <v>33</v>
      </c>
      <c r="E162" t="s">
        <v>13</v>
      </c>
      <c r="F162" s="11">
        <v>44385</v>
      </c>
      <c r="G162" s="7" t="s">
        <v>9</v>
      </c>
      <c r="H162">
        <v>74550</v>
      </c>
      <c r="I162" s="9">
        <f ca="1">(TODAY()-Staff[[#This Row],[Date Joined]])/365</f>
        <v>3.4465753424657533</v>
      </c>
      <c r="J162" t="s">
        <v>206</v>
      </c>
      <c r="K162">
        <f ca="1">ROUNDUP(IF(Staff[[#This Row],[Tenure]]&gt;2,3%*Staff[[#This Row],[Salary]],0),0)</f>
        <v>2237</v>
      </c>
      <c r="L162">
        <f>_xlfn.XLOOKUP(Staff[[#This Row],[Rating]],$O$26:$O$30,$P$26:$P$30)</f>
        <v>3</v>
      </c>
    </row>
    <row r="163" spans="2:12" x14ac:dyDescent="0.35">
      <c r="B163" s="7" t="s">
        <v>107</v>
      </c>
      <c r="C163" s="7" t="s">
        <v>8</v>
      </c>
      <c r="D163">
        <v>30</v>
      </c>
      <c r="E163" t="s">
        <v>13</v>
      </c>
      <c r="F163" s="11">
        <v>44701</v>
      </c>
      <c r="G163" s="7" t="s">
        <v>12</v>
      </c>
      <c r="H163">
        <v>67950</v>
      </c>
      <c r="I163" s="9">
        <f ca="1">(TODAY()-Staff[[#This Row],[Date Joined]])/365</f>
        <v>2.580821917808219</v>
      </c>
      <c r="J163" t="s">
        <v>206</v>
      </c>
      <c r="K163">
        <f ca="1">ROUNDUP(IF(Staff[[#This Row],[Tenure]]&gt;2,3%*Staff[[#This Row],[Salary]],0),0)</f>
        <v>2039</v>
      </c>
      <c r="L163">
        <f>_xlfn.XLOOKUP(Staff[[#This Row],[Rating]],$O$26:$O$30,$P$26:$P$30)</f>
        <v>3</v>
      </c>
    </row>
    <row r="164" spans="2:12" x14ac:dyDescent="0.35">
      <c r="B164" s="7" t="s">
        <v>109</v>
      </c>
      <c r="C164" s="7" t="s">
        <v>8</v>
      </c>
      <c r="D164">
        <v>26</v>
      </c>
      <c r="E164" t="s">
        <v>13</v>
      </c>
      <c r="F164" s="11">
        <v>44411</v>
      </c>
      <c r="G164" s="7" t="s">
        <v>12</v>
      </c>
      <c r="H164">
        <v>53540</v>
      </c>
      <c r="I164" s="9">
        <f ca="1">(TODAY()-Staff[[#This Row],[Date Joined]])/365</f>
        <v>3.3753424657534246</v>
      </c>
      <c r="J164" t="s">
        <v>206</v>
      </c>
      <c r="K164">
        <f ca="1">ROUNDUP(IF(Staff[[#This Row],[Tenure]]&gt;2,3%*Staff[[#This Row],[Salary]],0),0)</f>
        <v>1607</v>
      </c>
      <c r="L164">
        <f>_xlfn.XLOOKUP(Staff[[#This Row],[Rating]],$O$26:$O$30,$P$26:$P$30)</f>
        <v>3</v>
      </c>
    </row>
    <row r="165" spans="2:12" x14ac:dyDescent="0.35">
      <c r="B165" s="7" t="s">
        <v>114</v>
      </c>
      <c r="C165" s="7" t="s">
        <v>205</v>
      </c>
      <c r="D165">
        <v>37</v>
      </c>
      <c r="E165" t="s">
        <v>18</v>
      </c>
      <c r="F165" s="11">
        <v>44085</v>
      </c>
      <c r="G165" s="7" t="s">
        <v>17</v>
      </c>
      <c r="H165">
        <v>115440</v>
      </c>
      <c r="I165" s="9">
        <f ca="1">(TODAY()-Staff[[#This Row],[Date Joined]])/365</f>
        <v>4.2684931506849315</v>
      </c>
      <c r="J165" t="s">
        <v>204</v>
      </c>
      <c r="K165">
        <f ca="1">ROUNDUP(IF(Staff[[#This Row],[Tenure]]&gt;2,3%*Staff[[#This Row],[Salary]],0),0)</f>
        <v>3464</v>
      </c>
      <c r="L165">
        <f>_xlfn.XLOOKUP(Staff[[#This Row],[Rating]],$O$26:$O$30,$P$26:$P$30)</f>
        <v>2</v>
      </c>
    </row>
    <row r="166" spans="2:12" x14ac:dyDescent="0.35">
      <c r="B166" s="7" t="s">
        <v>125</v>
      </c>
      <c r="C166" s="7" t="s">
        <v>15</v>
      </c>
      <c r="D166">
        <v>34</v>
      </c>
      <c r="E166" t="s">
        <v>18</v>
      </c>
      <c r="F166" s="11">
        <v>44660</v>
      </c>
      <c r="G166" s="7" t="s">
        <v>9</v>
      </c>
      <c r="H166">
        <v>49630</v>
      </c>
      <c r="I166" s="9">
        <f ca="1">(TODAY()-Staff[[#This Row],[Date Joined]])/365</f>
        <v>2.6931506849315068</v>
      </c>
      <c r="J166" t="s">
        <v>204</v>
      </c>
      <c r="K166">
        <f ca="1">ROUNDUP(IF(Staff[[#This Row],[Tenure]]&gt;2,3%*Staff[[#This Row],[Salary]],0),0)</f>
        <v>1489</v>
      </c>
      <c r="L166">
        <f>_xlfn.XLOOKUP(Staff[[#This Row],[Rating]],$O$26:$O$30,$P$26:$P$30)</f>
        <v>2</v>
      </c>
    </row>
    <row r="167" spans="2:12" x14ac:dyDescent="0.35">
      <c r="B167" s="7" t="s">
        <v>131</v>
      </c>
      <c r="C167" s="7" t="s">
        <v>8</v>
      </c>
      <c r="D167">
        <v>37</v>
      </c>
      <c r="E167" t="s">
        <v>18</v>
      </c>
      <c r="F167" s="11">
        <v>44277</v>
      </c>
      <c r="G167" s="7" t="s">
        <v>23</v>
      </c>
      <c r="H167">
        <v>88050</v>
      </c>
      <c r="I167" s="9">
        <f ca="1">(TODAY()-Staff[[#This Row],[Date Joined]])/365</f>
        <v>3.7424657534246575</v>
      </c>
      <c r="J167" t="s">
        <v>204</v>
      </c>
      <c r="K167">
        <f ca="1">ROUNDUP(IF(Staff[[#This Row],[Tenure]]&gt;2,3%*Staff[[#This Row],[Salary]],0),0)</f>
        <v>2642</v>
      </c>
      <c r="L167">
        <f>_xlfn.XLOOKUP(Staff[[#This Row],[Rating]],$O$26:$O$30,$P$26:$P$30)</f>
        <v>2</v>
      </c>
    </row>
    <row r="168" spans="2:12" x14ac:dyDescent="0.35">
      <c r="B168" s="7" t="s">
        <v>144</v>
      </c>
      <c r="C168" s="7" t="s">
        <v>8</v>
      </c>
      <c r="D168">
        <v>24</v>
      </c>
      <c r="E168" t="s">
        <v>18</v>
      </c>
      <c r="F168" s="11">
        <v>44375</v>
      </c>
      <c r="G168" s="7" t="s">
        <v>17</v>
      </c>
      <c r="H168">
        <v>52610</v>
      </c>
      <c r="I168" s="9">
        <f ca="1">(TODAY()-Staff[[#This Row],[Date Joined]])/365</f>
        <v>3.473972602739726</v>
      </c>
      <c r="J168" t="s">
        <v>204</v>
      </c>
      <c r="K168">
        <f ca="1">ROUNDUP(IF(Staff[[#This Row],[Tenure]]&gt;2,3%*Staff[[#This Row],[Salary]],0),0)</f>
        <v>1579</v>
      </c>
      <c r="L168">
        <f>_xlfn.XLOOKUP(Staff[[#This Row],[Rating]],$O$26:$O$30,$P$26:$P$30)</f>
        <v>2</v>
      </c>
    </row>
    <row r="169" spans="2:12" x14ac:dyDescent="0.35">
      <c r="B169" s="7" t="s">
        <v>145</v>
      </c>
      <c r="C169" s="7" t="s">
        <v>8</v>
      </c>
      <c r="D169">
        <v>29</v>
      </c>
      <c r="E169" t="s">
        <v>18</v>
      </c>
      <c r="F169" s="11">
        <v>44119</v>
      </c>
      <c r="G169" s="7" t="s">
        <v>23</v>
      </c>
      <c r="H169">
        <v>112110</v>
      </c>
      <c r="I169" s="9">
        <f ca="1">(TODAY()-Staff[[#This Row],[Date Joined]])/365</f>
        <v>4.1753424657534248</v>
      </c>
      <c r="J169" t="s">
        <v>204</v>
      </c>
      <c r="K169">
        <f ca="1">ROUNDUP(IF(Staff[[#This Row],[Tenure]]&gt;2,3%*Staff[[#This Row],[Salary]],0),0)</f>
        <v>3364</v>
      </c>
      <c r="L169">
        <f>_xlfn.XLOOKUP(Staff[[#This Row],[Rating]],$O$26:$O$30,$P$26:$P$30)</f>
        <v>2</v>
      </c>
    </row>
    <row r="170" spans="2:12" x14ac:dyDescent="0.35">
      <c r="B170" s="7" t="s">
        <v>159</v>
      </c>
      <c r="C170" s="7" t="s">
        <v>8</v>
      </c>
      <c r="D170">
        <v>42</v>
      </c>
      <c r="E170" t="s">
        <v>18</v>
      </c>
      <c r="F170" s="11">
        <v>44670</v>
      </c>
      <c r="G170" s="7" t="s">
        <v>17</v>
      </c>
      <c r="H170">
        <v>70270</v>
      </c>
      <c r="I170" s="9">
        <f ca="1">(TODAY()-Staff[[#This Row],[Date Joined]])/365</f>
        <v>2.6657534246575341</v>
      </c>
      <c r="J170" t="s">
        <v>204</v>
      </c>
      <c r="K170">
        <f ca="1">ROUNDUP(IF(Staff[[#This Row],[Tenure]]&gt;2,3%*Staff[[#This Row],[Salary]],0),0)</f>
        <v>2109</v>
      </c>
      <c r="L170">
        <f>_xlfn.XLOOKUP(Staff[[#This Row],[Rating]],$O$26:$O$30,$P$26:$P$30)</f>
        <v>2</v>
      </c>
    </row>
    <row r="171" spans="2:12" x14ac:dyDescent="0.35">
      <c r="B171" s="7" t="s">
        <v>170</v>
      </c>
      <c r="C171" s="7" t="s">
        <v>15</v>
      </c>
      <c r="D171">
        <v>20</v>
      </c>
      <c r="E171" t="s">
        <v>18</v>
      </c>
      <c r="F171" s="11">
        <v>44476</v>
      </c>
      <c r="G171" s="7" t="s">
        <v>9</v>
      </c>
      <c r="H171">
        <v>68900</v>
      </c>
      <c r="I171" s="9">
        <f ca="1">(TODAY()-Staff[[#This Row],[Date Joined]])/365</f>
        <v>3.1972602739726028</v>
      </c>
      <c r="J171" t="s">
        <v>204</v>
      </c>
      <c r="K171">
        <f ca="1">ROUNDUP(IF(Staff[[#This Row],[Tenure]]&gt;2,3%*Staff[[#This Row],[Salary]],0),0)</f>
        <v>2067</v>
      </c>
      <c r="L171">
        <f>_xlfn.XLOOKUP(Staff[[#This Row],[Rating]],$O$26:$O$30,$P$26:$P$30)</f>
        <v>2</v>
      </c>
    </row>
    <row r="172" spans="2:12" x14ac:dyDescent="0.35">
      <c r="B172" s="7" t="s">
        <v>181</v>
      </c>
      <c r="C172" s="7" t="s">
        <v>15</v>
      </c>
      <c r="D172">
        <v>30</v>
      </c>
      <c r="E172" t="s">
        <v>18</v>
      </c>
      <c r="F172" s="11">
        <v>44328</v>
      </c>
      <c r="G172" s="7" t="s">
        <v>17</v>
      </c>
      <c r="H172">
        <v>67910</v>
      </c>
      <c r="I172" s="9">
        <f ca="1">(TODAY()-Staff[[#This Row],[Date Joined]])/365</f>
        <v>3.6027397260273974</v>
      </c>
      <c r="J172" t="s">
        <v>204</v>
      </c>
      <c r="K172">
        <f ca="1">ROUNDUP(IF(Staff[[#This Row],[Tenure]]&gt;2,3%*Staff[[#This Row],[Salary]],0),0)</f>
        <v>2038</v>
      </c>
      <c r="L172">
        <f>_xlfn.XLOOKUP(Staff[[#This Row],[Rating]],$O$26:$O$30,$P$26:$P$30)</f>
        <v>2</v>
      </c>
    </row>
    <row r="173" spans="2:12" x14ac:dyDescent="0.35">
      <c r="B173" s="7" t="s">
        <v>16</v>
      </c>
      <c r="C173" s="7" t="s">
        <v>205</v>
      </c>
      <c r="D173">
        <v>37</v>
      </c>
      <c r="E173" t="s">
        <v>18</v>
      </c>
      <c r="F173" s="11">
        <v>44146</v>
      </c>
      <c r="G173" s="7" t="s">
        <v>17</v>
      </c>
      <c r="H173">
        <v>115440</v>
      </c>
      <c r="I173" s="9">
        <f ca="1">(TODAY()-Staff[[#This Row],[Date Joined]])/365</f>
        <v>4.1013698630136988</v>
      </c>
      <c r="J173" t="s">
        <v>206</v>
      </c>
      <c r="K173">
        <f ca="1">ROUNDUP(IF(Staff[[#This Row],[Tenure]]&gt;2,3%*Staff[[#This Row],[Salary]],0),0)</f>
        <v>3464</v>
      </c>
      <c r="L173">
        <f>_xlfn.XLOOKUP(Staff[[#This Row],[Rating]],$O$26:$O$30,$P$26:$P$30)</f>
        <v>2</v>
      </c>
    </row>
    <row r="174" spans="2:12" x14ac:dyDescent="0.35">
      <c r="B174" s="7" t="s">
        <v>27</v>
      </c>
      <c r="C174" s="7" t="s">
        <v>8</v>
      </c>
      <c r="D174">
        <v>29</v>
      </c>
      <c r="E174" t="s">
        <v>18</v>
      </c>
      <c r="F174" s="11">
        <v>44180</v>
      </c>
      <c r="G174" s="7" t="s">
        <v>23</v>
      </c>
      <c r="H174">
        <v>112110</v>
      </c>
      <c r="I174" s="9">
        <f ca="1">(TODAY()-Staff[[#This Row],[Date Joined]])/365</f>
        <v>4.0082191780821921</v>
      </c>
      <c r="J174" t="s">
        <v>206</v>
      </c>
      <c r="K174">
        <f ca="1">ROUNDUP(IF(Staff[[#This Row],[Tenure]]&gt;2,3%*Staff[[#This Row],[Salary]],0),0)</f>
        <v>3364</v>
      </c>
      <c r="L174">
        <f>_xlfn.XLOOKUP(Staff[[#This Row],[Rating]],$O$26:$O$30,$P$26:$P$30)</f>
        <v>2</v>
      </c>
    </row>
    <row r="175" spans="2:12" x14ac:dyDescent="0.35">
      <c r="B175" s="7" t="s">
        <v>38</v>
      </c>
      <c r="C175" s="7" t="s">
        <v>15</v>
      </c>
      <c r="D175">
        <v>30</v>
      </c>
      <c r="E175" t="s">
        <v>18</v>
      </c>
      <c r="F175" s="11">
        <v>44389</v>
      </c>
      <c r="G175" s="7" t="s">
        <v>17</v>
      </c>
      <c r="H175">
        <v>67910</v>
      </c>
      <c r="I175" s="9">
        <f ca="1">(TODAY()-Staff[[#This Row],[Date Joined]])/365</f>
        <v>3.4356164383561643</v>
      </c>
      <c r="J175" t="s">
        <v>206</v>
      </c>
      <c r="K175">
        <f ca="1">ROUNDUP(IF(Staff[[#This Row],[Tenure]]&gt;2,3%*Staff[[#This Row],[Salary]],0),0)</f>
        <v>2038</v>
      </c>
      <c r="L175">
        <f>_xlfn.XLOOKUP(Staff[[#This Row],[Rating]],$O$26:$O$30,$P$26:$P$30)</f>
        <v>2</v>
      </c>
    </row>
    <row r="176" spans="2:12" x14ac:dyDescent="0.35">
      <c r="B176" s="7" t="s">
        <v>53</v>
      </c>
      <c r="C176" s="7" t="s">
        <v>15</v>
      </c>
      <c r="D176">
        <v>34</v>
      </c>
      <c r="E176" t="s">
        <v>18</v>
      </c>
      <c r="F176" s="11">
        <v>44721</v>
      </c>
      <c r="G176" s="7" t="s">
        <v>9</v>
      </c>
      <c r="H176">
        <v>49630</v>
      </c>
      <c r="I176" s="9">
        <f ca="1">(TODAY()-Staff[[#This Row],[Date Joined]])/365</f>
        <v>2.526027397260274</v>
      </c>
      <c r="J176" t="s">
        <v>206</v>
      </c>
      <c r="K176">
        <f ca="1">ROUNDUP(IF(Staff[[#This Row],[Tenure]]&gt;2,3%*Staff[[#This Row],[Salary]],0),0)</f>
        <v>1489</v>
      </c>
      <c r="L176">
        <f>_xlfn.XLOOKUP(Staff[[#This Row],[Rating]],$O$26:$O$30,$P$26:$P$30)</f>
        <v>2</v>
      </c>
    </row>
    <row r="177" spans="2:12" x14ac:dyDescent="0.35">
      <c r="B177" s="7" t="s">
        <v>58</v>
      </c>
      <c r="C177" s="7" t="s">
        <v>8</v>
      </c>
      <c r="D177">
        <v>24</v>
      </c>
      <c r="E177" t="s">
        <v>18</v>
      </c>
      <c r="F177" s="11">
        <v>44436</v>
      </c>
      <c r="G177" s="7" t="s">
        <v>17</v>
      </c>
      <c r="H177">
        <v>52610</v>
      </c>
      <c r="I177" s="9">
        <f ca="1">(TODAY()-Staff[[#This Row],[Date Joined]])/365</f>
        <v>3.3068493150684932</v>
      </c>
      <c r="J177" t="s">
        <v>206</v>
      </c>
      <c r="K177">
        <f ca="1">ROUNDUP(IF(Staff[[#This Row],[Tenure]]&gt;2,3%*Staff[[#This Row],[Salary]],0),0)</f>
        <v>1579</v>
      </c>
      <c r="L177">
        <f>_xlfn.XLOOKUP(Staff[[#This Row],[Rating]],$O$26:$O$30,$P$26:$P$30)</f>
        <v>2</v>
      </c>
    </row>
    <row r="178" spans="2:12" x14ac:dyDescent="0.35">
      <c r="B178" s="7" t="s">
        <v>65</v>
      </c>
      <c r="C178" s="7" t="s">
        <v>15</v>
      </c>
      <c r="D178">
        <v>20</v>
      </c>
      <c r="E178" t="s">
        <v>18</v>
      </c>
      <c r="F178" s="11">
        <v>44537</v>
      </c>
      <c r="G178" s="7" t="s">
        <v>9</v>
      </c>
      <c r="H178">
        <v>68900</v>
      </c>
      <c r="I178" s="9">
        <f ca="1">(TODAY()-Staff[[#This Row],[Date Joined]])/365</f>
        <v>3.0301369863013701</v>
      </c>
      <c r="J178" t="s">
        <v>206</v>
      </c>
      <c r="K178">
        <f ca="1">ROUNDUP(IF(Staff[[#This Row],[Tenure]]&gt;2,3%*Staff[[#This Row],[Salary]],0),0)</f>
        <v>2067</v>
      </c>
      <c r="L178">
        <f>_xlfn.XLOOKUP(Staff[[#This Row],[Rating]],$O$26:$O$30,$P$26:$P$30)</f>
        <v>2</v>
      </c>
    </row>
    <row r="179" spans="2:12" x14ac:dyDescent="0.35">
      <c r="B179" s="7" t="s">
        <v>90</v>
      </c>
      <c r="C179" s="7" t="s">
        <v>8</v>
      </c>
      <c r="D179">
        <v>37</v>
      </c>
      <c r="E179" t="s">
        <v>18</v>
      </c>
      <c r="F179" s="11">
        <v>44338</v>
      </c>
      <c r="G179" s="7" t="s">
        <v>23</v>
      </c>
      <c r="H179">
        <v>88050</v>
      </c>
      <c r="I179" s="9">
        <f ca="1">(TODAY()-Staff[[#This Row],[Date Joined]])/365</f>
        <v>3.5753424657534247</v>
      </c>
      <c r="J179" t="s">
        <v>206</v>
      </c>
      <c r="K179">
        <f ca="1">ROUNDUP(IF(Staff[[#This Row],[Tenure]]&gt;2,3%*Staff[[#This Row],[Salary]],0),0)</f>
        <v>2642</v>
      </c>
      <c r="L179">
        <f>_xlfn.XLOOKUP(Staff[[#This Row],[Rating]],$O$26:$O$30,$P$26:$P$30)</f>
        <v>2</v>
      </c>
    </row>
    <row r="180" spans="2:12" x14ac:dyDescent="0.35">
      <c r="B180" s="7" t="s">
        <v>108</v>
      </c>
      <c r="C180" s="7" t="s">
        <v>8</v>
      </c>
      <c r="D180">
        <v>42</v>
      </c>
      <c r="E180" t="s">
        <v>18</v>
      </c>
      <c r="F180" s="11">
        <v>44731</v>
      </c>
      <c r="G180" s="7" t="s">
        <v>17</v>
      </c>
      <c r="H180">
        <v>70270</v>
      </c>
      <c r="I180" s="9">
        <f ca="1">(TODAY()-Staff[[#This Row],[Date Joined]])/365</f>
        <v>2.4986301369863013</v>
      </c>
      <c r="J180" t="s">
        <v>206</v>
      </c>
      <c r="K180">
        <f ca="1">ROUNDUP(IF(Staff[[#This Row],[Tenure]]&gt;2,3%*Staff[[#This Row],[Salary]],0),0)</f>
        <v>2109</v>
      </c>
      <c r="L180">
        <f>_xlfn.XLOOKUP(Staff[[#This Row],[Rating]],$O$26:$O$30,$P$26:$P$30)</f>
        <v>2</v>
      </c>
    </row>
    <row r="181" spans="2:12" x14ac:dyDescent="0.35">
      <c r="B181" s="7" t="s">
        <v>172</v>
      </c>
      <c r="C181" s="7" t="s">
        <v>8</v>
      </c>
      <c r="D181">
        <v>28</v>
      </c>
      <c r="E181" t="s">
        <v>49</v>
      </c>
      <c r="F181" s="11">
        <v>44758</v>
      </c>
      <c r="G181" s="7" t="s">
        <v>9</v>
      </c>
      <c r="H181">
        <v>43510</v>
      </c>
      <c r="I181" s="9">
        <f ca="1">(TODAY()-Staff[[#This Row],[Date Joined]])/365</f>
        <v>2.4246575342465753</v>
      </c>
      <c r="J181" t="s">
        <v>204</v>
      </c>
      <c r="K181">
        <f ca="1">ROUNDUP(IF(Staff[[#This Row],[Tenure]]&gt;2,3%*Staff[[#This Row],[Salary]],0),0)</f>
        <v>1306</v>
      </c>
      <c r="L181">
        <f>_xlfn.XLOOKUP(Staff[[#This Row],[Rating]],$O$26:$O$30,$P$26:$P$30)</f>
        <v>1</v>
      </c>
    </row>
    <row r="182" spans="2:12" x14ac:dyDescent="0.35">
      <c r="B182" s="7" t="s">
        <v>177</v>
      </c>
      <c r="C182" s="7" t="s">
        <v>8</v>
      </c>
      <c r="D182">
        <v>27</v>
      </c>
      <c r="E182" t="s">
        <v>49</v>
      </c>
      <c r="F182" s="11">
        <v>44547</v>
      </c>
      <c r="G182" s="7" t="s">
        <v>12</v>
      </c>
      <c r="H182">
        <v>113280</v>
      </c>
      <c r="I182" s="9">
        <f ca="1">(TODAY()-Staff[[#This Row],[Date Joined]])/365</f>
        <v>3.0027397260273974</v>
      </c>
      <c r="J182" t="s">
        <v>204</v>
      </c>
      <c r="K182">
        <f ca="1">ROUNDUP(IF(Staff[[#This Row],[Tenure]]&gt;2,3%*Staff[[#This Row],[Salary]],0),0)</f>
        <v>3399</v>
      </c>
      <c r="L182">
        <f>_xlfn.XLOOKUP(Staff[[#This Row],[Rating]],$O$26:$O$30,$P$26:$P$30)</f>
        <v>1</v>
      </c>
    </row>
    <row r="183" spans="2:12" x14ac:dyDescent="0.35">
      <c r="B183" s="7" t="s">
        <v>194</v>
      </c>
      <c r="C183" s="7" t="s">
        <v>15</v>
      </c>
      <c r="D183">
        <v>33</v>
      </c>
      <c r="E183" t="s">
        <v>49</v>
      </c>
      <c r="F183" s="11">
        <v>44313</v>
      </c>
      <c r="G183" s="7" t="s">
        <v>23</v>
      </c>
      <c r="H183">
        <v>75480</v>
      </c>
      <c r="I183" s="9">
        <f ca="1">(TODAY()-Staff[[#This Row],[Date Joined]])/365</f>
        <v>3.6438356164383561</v>
      </c>
      <c r="J183" t="s">
        <v>204</v>
      </c>
      <c r="K183">
        <f ca="1">ROUNDUP(IF(Staff[[#This Row],[Tenure]]&gt;2,3%*Staff[[#This Row],[Salary]],0),0)</f>
        <v>2265</v>
      </c>
      <c r="L183">
        <f>_xlfn.XLOOKUP(Staff[[#This Row],[Rating]],$O$26:$O$30,$P$26:$P$30)</f>
        <v>1</v>
      </c>
    </row>
    <row r="184" spans="2:12" x14ac:dyDescent="0.35">
      <c r="B184" s="7" t="s">
        <v>48</v>
      </c>
      <c r="C184" s="7" t="s">
        <v>15</v>
      </c>
      <c r="D184">
        <v>33</v>
      </c>
      <c r="E184" t="s">
        <v>49</v>
      </c>
      <c r="F184" s="11">
        <v>44374</v>
      </c>
      <c r="G184" s="7" t="s">
        <v>23</v>
      </c>
      <c r="H184">
        <v>75480</v>
      </c>
      <c r="I184" s="9">
        <f ca="1">(TODAY()-Staff[[#This Row],[Date Joined]])/365</f>
        <v>3.4767123287671233</v>
      </c>
      <c r="J184" t="s">
        <v>206</v>
      </c>
      <c r="K184">
        <f ca="1">ROUNDUP(IF(Staff[[#This Row],[Tenure]]&gt;2,3%*Staff[[#This Row],[Salary]],0),0)</f>
        <v>2265</v>
      </c>
      <c r="L184">
        <f>_xlfn.XLOOKUP(Staff[[#This Row],[Rating]],$O$26:$O$30,$P$26:$P$30)</f>
        <v>1</v>
      </c>
    </row>
    <row r="185" spans="2:12" x14ac:dyDescent="0.35">
      <c r="B185" s="7" t="s">
        <v>75</v>
      </c>
      <c r="C185" s="7" t="s">
        <v>8</v>
      </c>
      <c r="D185">
        <v>27</v>
      </c>
      <c r="E185" t="s">
        <v>49</v>
      </c>
      <c r="F185" s="11">
        <v>44609</v>
      </c>
      <c r="G185" s="7" t="s">
        <v>12</v>
      </c>
      <c r="H185">
        <v>113280</v>
      </c>
      <c r="I185" s="9">
        <f ca="1">(TODAY()-Staff[[#This Row],[Date Joined]])/365</f>
        <v>2.8328767123287673</v>
      </c>
      <c r="J185" t="s">
        <v>206</v>
      </c>
      <c r="K185">
        <f ca="1">ROUNDUP(IF(Staff[[#This Row],[Tenure]]&gt;2,3%*Staff[[#This Row],[Salary]],0),0)</f>
        <v>3399</v>
      </c>
      <c r="L185">
        <f>_xlfn.XLOOKUP(Staff[[#This Row],[Rating]],$O$26:$O$30,$P$26:$P$30)</f>
        <v>1</v>
      </c>
    </row>
    <row r="186" spans="2:12" x14ac:dyDescent="0.35">
      <c r="B186" s="7" t="s">
        <v>101</v>
      </c>
      <c r="C186" s="7" t="s">
        <v>8</v>
      </c>
      <c r="D186">
        <v>28</v>
      </c>
      <c r="E186" t="s">
        <v>49</v>
      </c>
      <c r="F186" s="11">
        <v>44820</v>
      </c>
      <c r="G186" s="7" t="s">
        <v>9</v>
      </c>
      <c r="H186">
        <v>43510</v>
      </c>
      <c r="I186" s="9">
        <f ca="1">(TODAY()-Staff[[#This Row],[Date Joined]])/365</f>
        <v>2.2547945205479452</v>
      </c>
      <c r="J186" t="s">
        <v>206</v>
      </c>
      <c r="K186">
        <f ca="1">ROUNDUP(IF(Staff[[#This Row],[Tenure]]&gt;2,3%*Staff[[#This Row],[Salary]],0),0)</f>
        <v>1306</v>
      </c>
      <c r="L186">
        <f>_xlfn.XLOOKUP(Staff[[#This Row],[Rating]],$O$26:$O$30,$P$26:$P$30)</f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14CF-C2A7-4C03-92FA-9AAE9AC60CE5}">
  <dimension ref="A3:D7"/>
  <sheetViews>
    <sheetView workbookViewId="0">
      <selection activeCell="A3" sqref="A3:D7"/>
    </sheetView>
  </sheetViews>
  <sheetFormatPr defaultRowHeight="14.5" x14ac:dyDescent="0.35"/>
  <cols>
    <col min="1" max="1" width="12.36328125" bestFit="1" customWidth="1"/>
    <col min="2" max="2" width="13.36328125" bestFit="1" customWidth="1"/>
    <col min="3" max="3" width="15.26953125" bestFit="1" customWidth="1"/>
    <col min="4" max="4" width="16.1796875" bestFit="1" customWidth="1"/>
    <col min="5" max="9" width="15.26953125" bestFit="1" customWidth="1"/>
    <col min="10" max="10" width="17" bestFit="1" customWidth="1"/>
    <col min="11" max="11" width="17.90625" bestFit="1" customWidth="1"/>
    <col min="12" max="12" width="15" bestFit="1" customWidth="1"/>
  </cols>
  <sheetData>
    <row r="3" spans="1:4" x14ac:dyDescent="0.35">
      <c r="A3" s="16" t="s">
        <v>217</v>
      </c>
      <c r="B3" t="s">
        <v>221</v>
      </c>
      <c r="C3" t="s">
        <v>219</v>
      </c>
      <c r="D3" t="s">
        <v>220</v>
      </c>
    </row>
    <row r="4" spans="1:4" x14ac:dyDescent="0.35">
      <c r="A4" s="3" t="s">
        <v>15</v>
      </c>
      <c r="B4" s="10">
        <v>31.406976744186046</v>
      </c>
      <c r="C4" s="10">
        <v>78284.186046511633</v>
      </c>
      <c r="D4" s="10">
        <v>3.2764574705320171</v>
      </c>
    </row>
    <row r="5" spans="1:4" x14ac:dyDescent="0.35">
      <c r="A5" s="3" t="s">
        <v>8</v>
      </c>
      <c r="B5" s="10">
        <v>29.393258426966291</v>
      </c>
      <c r="C5" s="10">
        <v>74915.168539325838</v>
      </c>
      <c r="D5" s="10">
        <v>3.267354163460058</v>
      </c>
    </row>
    <row r="6" spans="1:4" x14ac:dyDescent="0.35">
      <c r="A6" s="3" t="s">
        <v>205</v>
      </c>
      <c r="B6" s="10">
        <v>31.375</v>
      </c>
      <c r="C6" s="10">
        <v>90362.5</v>
      </c>
      <c r="D6" s="10">
        <v>3.3188356164383563</v>
      </c>
    </row>
    <row r="7" spans="1:4" x14ac:dyDescent="0.35">
      <c r="A7" s="3" t="s">
        <v>218</v>
      </c>
      <c r="B7" s="10">
        <v>30.42622950819672</v>
      </c>
      <c r="C7" s="7">
        <v>77173.715846994543</v>
      </c>
      <c r="D7" s="10">
        <v>3.2738827756568578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15E7-EB40-4150-8CE1-C0739E7F80AD}">
  <dimension ref="B2:M15"/>
  <sheetViews>
    <sheetView workbookViewId="0">
      <selection activeCell="B2" sqref="B2:F2"/>
    </sheetView>
  </sheetViews>
  <sheetFormatPr defaultRowHeight="14.5" x14ac:dyDescent="0.35"/>
  <cols>
    <col min="2" max="2" width="13.90625" bestFit="1" customWidth="1"/>
    <col min="4" max="4" width="14.6328125" customWidth="1"/>
    <col min="6" max="6" width="18.6328125" customWidth="1"/>
    <col min="9" max="9" width="13.90625" bestFit="1" customWidth="1"/>
    <col min="11" max="11" width="10" bestFit="1" customWidth="1"/>
    <col min="13" max="13" width="18.90625" bestFit="1" customWidth="1"/>
  </cols>
  <sheetData>
    <row r="2" spans="2:13" ht="39.5" x14ac:dyDescent="0.35">
      <c r="B2" s="48" t="s">
        <v>245</v>
      </c>
      <c r="C2" s="48"/>
      <c r="D2" s="48"/>
      <c r="E2" s="48"/>
      <c r="F2" s="48"/>
      <c r="G2" s="30"/>
      <c r="H2" s="30"/>
      <c r="I2" s="48" t="s">
        <v>246</v>
      </c>
      <c r="J2" s="48"/>
      <c r="K2" s="48"/>
      <c r="L2" s="48"/>
      <c r="M2" s="48"/>
    </row>
    <row r="3" spans="2:13" ht="69" x14ac:dyDescent="0.35">
      <c r="B3" s="31">
        <f>COUNTIF(Staff[Country],"NZ")</f>
        <v>91</v>
      </c>
      <c r="D3" s="37">
        <f>COUNTIFS(Staff[Country],"NZ",Staff[Gender],"Female")/B3</f>
        <v>0.47252747252747251</v>
      </c>
      <c r="F3" s="32">
        <f>AVERAGEIFS(Staff[Salary],Staff[Country],"nz")</f>
        <v>76978.791208791212</v>
      </c>
      <c r="I3" s="33">
        <f>COUNTIF(Staff[Country],"in")</f>
        <v>92</v>
      </c>
      <c r="J3" s="34"/>
      <c r="K3" s="35">
        <f>COUNTIFS(Staff[Country],"in",Staff[Gender],"Female")/I3</f>
        <v>0.46739130434782611</v>
      </c>
      <c r="L3" s="34"/>
      <c r="M3" s="36">
        <f>AVERAGEIFS(Staff[Salary],Staff[Country],"in")</f>
        <v>77366.521739130432</v>
      </c>
    </row>
    <row r="4" spans="2:13" ht="15" thickBot="1" x14ac:dyDescent="0.4"/>
    <row r="5" spans="2:13" x14ac:dyDescent="0.35">
      <c r="B5" s="38"/>
      <c r="C5" s="39"/>
      <c r="D5" s="39"/>
      <c r="E5" s="39"/>
      <c r="F5" s="40"/>
      <c r="I5" s="38"/>
      <c r="J5" s="39"/>
      <c r="K5" s="39"/>
      <c r="L5" s="39"/>
      <c r="M5" s="40"/>
    </row>
    <row r="6" spans="2:13" x14ac:dyDescent="0.35">
      <c r="B6" s="41"/>
      <c r="C6" s="42"/>
      <c r="D6" s="42"/>
      <c r="E6" s="42"/>
      <c r="F6" s="43"/>
      <c r="I6" s="41"/>
      <c r="J6" s="42"/>
      <c r="K6" s="42"/>
      <c r="L6" s="42"/>
      <c r="M6" s="43"/>
    </row>
    <row r="7" spans="2:13" x14ac:dyDescent="0.35">
      <c r="B7" s="41"/>
      <c r="C7" s="42"/>
      <c r="D7" s="42"/>
      <c r="E7" s="42"/>
      <c r="F7" s="43"/>
      <c r="I7" s="41"/>
      <c r="J7" s="42"/>
      <c r="K7" s="42"/>
      <c r="L7" s="42"/>
      <c r="M7" s="43"/>
    </row>
    <row r="8" spans="2:13" x14ac:dyDescent="0.35">
      <c r="B8" s="41"/>
      <c r="C8" s="42"/>
      <c r="D8" s="42"/>
      <c r="E8" s="42"/>
      <c r="F8" s="43"/>
      <c r="I8" s="41"/>
      <c r="J8" s="42"/>
      <c r="K8" s="42"/>
      <c r="L8" s="42"/>
      <c r="M8" s="43"/>
    </row>
    <row r="9" spans="2:13" x14ac:dyDescent="0.35">
      <c r="B9" s="41"/>
      <c r="C9" s="42"/>
      <c r="D9" s="42"/>
      <c r="E9" s="42"/>
      <c r="F9" s="43"/>
      <c r="I9" s="41"/>
      <c r="J9" s="42"/>
      <c r="K9" s="42"/>
      <c r="L9" s="42"/>
      <c r="M9" s="43"/>
    </row>
    <row r="10" spans="2:13" x14ac:dyDescent="0.35">
      <c r="B10" s="41"/>
      <c r="C10" s="42"/>
      <c r="D10" s="42"/>
      <c r="E10" s="42"/>
      <c r="F10" s="43"/>
      <c r="I10" s="41"/>
      <c r="J10" s="42"/>
      <c r="K10" s="42"/>
      <c r="L10" s="42"/>
      <c r="M10" s="43"/>
    </row>
    <row r="11" spans="2:13" x14ac:dyDescent="0.35">
      <c r="B11" s="41"/>
      <c r="C11" s="42"/>
      <c r="D11" s="42"/>
      <c r="E11" s="42"/>
      <c r="F11" s="43"/>
      <c r="I11" s="41"/>
      <c r="J11" s="42"/>
      <c r="K11" s="42"/>
      <c r="L11" s="42"/>
      <c r="M11" s="43"/>
    </row>
    <row r="12" spans="2:13" x14ac:dyDescent="0.35">
      <c r="B12" s="41"/>
      <c r="C12" s="42"/>
      <c r="D12" s="42"/>
      <c r="E12" s="42"/>
      <c r="F12" s="43"/>
      <c r="I12" s="41"/>
      <c r="J12" s="42"/>
      <c r="K12" s="42"/>
      <c r="L12" s="42"/>
      <c r="M12" s="43"/>
    </row>
    <row r="13" spans="2:13" x14ac:dyDescent="0.35">
      <c r="B13" s="41"/>
      <c r="C13" s="42"/>
      <c r="D13" s="42"/>
      <c r="E13" s="42"/>
      <c r="F13" s="43"/>
      <c r="I13" s="41"/>
      <c r="J13" s="42"/>
      <c r="K13" s="42"/>
      <c r="L13" s="42"/>
      <c r="M13" s="43"/>
    </row>
    <row r="14" spans="2:13" x14ac:dyDescent="0.35">
      <c r="B14" s="41"/>
      <c r="C14" s="42"/>
      <c r="D14" s="42"/>
      <c r="E14" s="42"/>
      <c r="F14" s="43"/>
      <c r="I14" s="41"/>
      <c r="J14" s="42"/>
      <c r="K14" s="42"/>
      <c r="L14" s="42"/>
      <c r="M14" s="43"/>
    </row>
    <row r="15" spans="2:13" ht="15" thickBot="1" x14ac:dyDescent="0.4">
      <c r="B15" s="44"/>
      <c r="C15" s="45"/>
      <c r="D15" s="45"/>
      <c r="E15" s="45"/>
      <c r="F15" s="46"/>
      <c r="I15" s="44"/>
      <c r="J15" s="45"/>
      <c r="K15" s="45"/>
      <c r="L15" s="45"/>
      <c r="M15" s="46"/>
    </row>
  </sheetData>
  <mergeCells count="2">
    <mergeCell ref="B2:F2"/>
    <mergeCell ref="I2:M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D3D6-4286-4428-B143-6D7A80269830}">
  <dimension ref="B3:L46"/>
  <sheetViews>
    <sheetView workbookViewId="0">
      <selection activeCell="C12" sqref="C12"/>
    </sheetView>
  </sheetViews>
  <sheetFormatPr defaultRowHeight="14.5" x14ac:dyDescent="0.35"/>
  <cols>
    <col min="2" max="2" width="12.54296875" customWidth="1"/>
    <col min="3" max="3" width="8.81640625" customWidth="1"/>
  </cols>
  <sheetData>
    <row r="3" spans="2:12" ht="21" x14ac:dyDescent="0.35">
      <c r="B3" s="13">
        <v>3</v>
      </c>
    </row>
    <row r="5" spans="2:12" x14ac:dyDescent="0.35">
      <c r="B5" s="14" t="s">
        <v>215</v>
      </c>
      <c r="C5" s="14"/>
      <c r="D5" t="s">
        <v>17</v>
      </c>
    </row>
    <row r="7" spans="2:12" x14ac:dyDescent="0.35">
      <c r="B7" t="s">
        <v>216</v>
      </c>
      <c r="C7">
        <f ca="1">COUNTIFS('Sort - Filter'!G:G,D5)</f>
        <v>38</v>
      </c>
    </row>
    <row r="9" spans="2:12" x14ac:dyDescent="0.35">
      <c r="B9" t="str" cm="1">
        <f t="array" aca="1" ref="B9:L46" ca="1" xml:space="preserve"> _xlfn._xlws.SORT(_xlfn._xlws.FILTER(Staff[], Staff[Department] =  D5),3,-1)</f>
        <v>Chandana Sannidhi Surnilla</v>
      </c>
      <c r="C9" t="str">
        <f ca="1"/>
        <v>Male</v>
      </c>
      <c r="D9">
        <f ca="1"/>
        <v>42</v>
      </c>
      <c r="E9" t="str">
        <f ca="1"/>
        <v>Poor</v>
      </c>
      <c r="F9">
        <f ca="1"/>
        <v>44670</v>
      </c>
      <c r="G9" t="str">
        <f ca="1"/>
        <v>Finance</v>
      </c>
      <c r="H9">
        <f ca="1"/>
        <v>70270</v>
      </c>
      <c r="I9">
        <f ca="1"/>
        <v>2.6657534246575341</v>
      </c>
      <c r="J9" t="str">
        <f ca="1"/>
        <v>IN</v>
      </c>
      <c r="K9">
        <f ca="1"/>
        <v>2109</v>
      </c>
      <c r="L9">
        <f ca="1"/>
        <v>2</v>
      </c>
    </row>
    <row r="10" spans="2:12" x14ac:dyDescent="0.35">
      <c r="B10" t="str">
        <f ca="1"/>
        <v>Shayne Stegel</v>
      </c>
      <c r="C10" t="str">
        <f ca="1"/>
        <v>Male</v>
      </c>
      <c r="D10">
        <f ca="1"/>
        <v>42</v>
      </c>
      <c r="E10" t="str">
        <f ca="1"/>
        <v>Poor</v>
      </c>
      <c r="F10">
        <f ca="1"/>
        <v>44731</v>
      </c>
      <c r="G10" t="str">
        <f ca="1"/>
        <v>Finance</v>
      </c>
      <c r="H10">
        <f ca="1"/>
        <v>70270</v>
      </c>
      <c r="I10">
        <f ca="1"/>
        <v>2.4986301369863013</v>
      </c>
      <c r="J10" t="str">
        <f ca="1"/>
        <v>NZ</v>
      </c>
      <c r="K10">
        <f ca="1"/>
        <v>2109</v>
      </c>
      <c r="L10">
        <f ca="1"/>
        <v>2</v>
      </c>
    </row>
    <row r="11" spans="2:12" x14ac:dyDescent="0.35">
      <c r="B11" t="str">
        <f ca="1"/>
        <v>Sahila Chandrasekhar</v>
      </c>
      <c r="C11" t="str">
        <f ca="1"/>
        <v>Other</v>
      </c>
      <c r="D11">
        <f ca="1"/>
        <v>37</v>
      </c>
      <c r="E11" t="str">
        <f ca="1"/>
        <v>Poor</v>
      </c>
      <c r="F11">
        <f ca="1"/>
        <v>44085</v>
      </c>
      <c r="G11" t="str">
        <f ca="1"/>
        <v>Finance</v>
      </c>
      <c r="H11">
        <f ca="1"/>
        <v>115440</v>
      </c>
      <c r="I11">
        <f ca="1"/>
        <v>4.2684931506849315</v>
      </c>
      <c r="J11" t="str">
        <f ca="1"/>
        <v>IN</v>
      </c>
      <c r="K11">
        <f ca="1"/>
        <v>3464</v>
      </c>
      <c r="L11">
        <f ca="1"/>
        <v>2</v>
      </c>
    </row>
    <row r="12" spans="2:12" x14ac:dyDescent="0.35">
      <c r="B12" t="str">
        <f ca="1"/>
        <v>Benny Karolovsky</v>
      </c>
      <c r="C12" t="str">
        <f ca="1"/>
        <v>Other</v>
      </c>
      <c r="D12">
        <f ca="1"/>
        <v>37</v>
      </c>
      <c r="E12" t="str">
        <f ca="1"/>
        <v>Poor</v>
      </c>
      <c r="F12">
        <f ca="1"/>
        <v>44146</v>
      </c>
      <c r="G12" t="str">
        <f ca="1"/>
        <v>Finance</v>
      </c>
      <c r="H12">
        <f ca="1"/>
        <v>115440</v>
      </c>
      <c r="I12">
        <f ca="1"/>
        <v>4.1013698630136988</v>
      </c>
      <c r="J12" t="str">
        <f ca="1"/>
        <v>NZ</v>
      </c>
      <c r="K12">
        <f ca="1"/>
        <v>3464</v>
      </c>
      <c r="L12">
        <f ca="1"/>
        <v>2</v>
      </c>
    </row>
    <row r="13" spans="2:12" x14ac:dyDescent="0.35">
      <c r="B13" t="str">
        <f ca="1"/>
        <v>Kulbhushan Moorthy</v>
      </c>
      <c r="C13" t="str">
        <f ca="1"/>
        <v>Male</v>
      </c>
      <c r="D13">
        <f ca="1"/>
        <v>36</v>
      </c>
      <c r="E13" t="str">
        <f ca="1"/>
        <v>Average</v>
      </c>
      <c r="F13">
        <f ca="1"/>
        <v>44272</v>
      </c>
      <c r="G13" t="str">
        <f ca="1"/>
        <v>Finance</v>
      </c>
      <c r="H13">
        <f ca="1"/>
        <v>71380</v>
      </c>
      <c r="I13">
        <f ca="1"/>
        <v>3.7561643835616438</v>
      </c>
      <c r="J13" t="str">
        <f ca="1"/>
        <v>IN</v>
      </c>
      <c r="K13">
        <f ca="1"/>
        <v>2142</v>
      </c>
      <c r="L13">
        <f ca="1"/>
        <v>3</v>
      </c>
    </row>
    <row r="14" spans="2:12" x14ac:dyDescent="0.35">
      <c r="B14" t="str">
        <f ca="1"/>
        <v>Bennie Pepis</v>
      </c>
      <c r="C14" t="str">
        <f ca="1"/>
        <v>Male</v>
      </c>
      <c r="D14">
        <f ca="1"/>
        <v>36</v>
      </c>
      <c r="E14" t="str">
        <f ca="1"/>
        <v>Average</v>
      </c>
      <c r="F14">
        <f ca="1"/>
        <v>44333</v>
      </c>
      <c r="G14" t="str">
        <f ca="1"/>
        <v>Finance</v>
      </c>
      <c r="H14">
        <f ca="1"/>
        <v>71380</v>
      </c>
      <c r="I14">
        <f ca="1"/>
        <v>3.5890410958904111</v>
      </c>
      <c r="J14" t="str">
        <f ca="1"/>
        <v>NZ</v>
      </c>
      <c r="K14">
        <f ca="1"/>
        <v>2142</v>
      </c>
      <c r="L14">
        <f ca="1"/>
        <v>3</v>
      </c>
    </row>
    <row r="15" spans="2:12" x14ac:dyDescent="0.35">
      <c r="B15" t="str">
        <f ca="1"/>
        <v>Tarala Vishaal</v>
      </c>
      <c r="C15" t="str">
        <f ca="1"/>
        <v>Female</v>
      </c>
      <c r="D15">
        <f ca="1"/>
        <v>34</v>
      </c>
      <c r="E15" t="str">
        <f ca="1"/>
        <v>Average</v>
      </c>
      <c r="F15">
        <f ca="1"/>
        <v>44397</v>
      </c>
      <c r="G15" t="str">
        <f ca="1"/>
        <v>Finance</v>
      </c>
      <c r="H15">
        <f ca="1"/>
        <v>85000</v>
      </c>
      <c r="I15">
        <f ca="1"/>
        <v>3.4136986301369863</v>
      </c>
      <c r="J15" t="str">
        <f ca="1"/>
        <v>IN</v>
      </c>
      <c r="K15">
        <f ca="1"/>
        <v>2550</v>
      </c>
      <c r="L15">
        <f ca="1"/>
        <v>3</v>
      </c>
    </row>
    <row r="16" spans="2:12" x14ac:dyDescent="0.35">
      <c r="B16" t="str">
        <f ca="1"/>
        <v>Krittika Gaekwad</v>
      </c>
      <c r="C16" t="str">
        <f ca="1"/>
        <v>Female</v>
      </c>
      <c r="D16">
        <f ca="1"/>
        <v>34</v>
      </c>
      <c r="E16" t="str">
        <f ca="1"/>
        <v>Average</v>
      </c>
      <c r="F16">
        <f ca="1"/>
        <v>44594</v>
      </c>
      <c r="G16" t="str">
        <f ca="1"/>
        <v>Finance</v>
      </c>
      <c r="H16">
        <f ca="1"/>
        <v>58940</v>
      </c>
      <c r="I16">
        <f ca="1"/>
        <v>2.8739726027397259</v>
      </c>
      <c r="J16" t="str">
        <f ca="1"/>
        <v>IN</v>
      </c>
      <c r="K16">
        <f ca="1"/>
        <v>1769</v>
      </c>
      <c r="L16">
        <f ca="1"/>
        <v>3</v>
      </c>
    </row>
    <row r="17" spans="2:12" x14ac:dyDescent="0.35">
      <c r="B17" t="str">
        <f ca="1"/>
        <v>Deepit Ranjana</v>
      </c>
      <c r="C17" t="str">
        <f ca="1"/>
        <v>Female</v>
      </c>
      <c r="D17">
        <f ca="1"/>
        <v>34</v>
      </c>
      <c r="E17" t="str">
        <f ca="1"/>
        <v>Average</v>
      </c>
      <c r="F17">
        <f ca="1"/>
        <v>44383</v>
      </c>
      <c r="G17" t="str">
        <f ca="1"/>
        <v>Finance</v>
      </c>
      <c r="H17">
        <f ca="1"/>
        <v>92450</v>
      </c>
      <c r="I17">
        <f ca="1"/>
        <v>3.452054794520548</v>
      </c>
      <c r="J17" t="str">
        <f ca="1"/>
        <v>IN</v>
      </c>
      <c r="K17">
        <f ca="1"/>
        <v>2774</v>
      </c>
      <c r="L17">
        <f ca="1"/>
        <v>3</v>
      </c>
    </row>
    <row r="18" spans="2:12" x14ac:dyDescent="0.35">
      <c r="B18" t="str">
        <f ca="1"/>
        <v>Lalit Kothari</v>
      </c>
      <c r="C18" t="str">
        <f ca="1"/>
        <v>Female</v>
      </c>
      <c r="D18">
        <f ca="1"/>
        <v>34</v>
      </c>
      <c r="E18" t="str">
        <f ca="1"/>
        <v>Average</v>
      </c>
      <c r="F18">
        <f ca="1"/>
        <v>44550</v>
      </c>
      <c r="G18" t="str">
        <f ca="1"/>
        <v>Finance</v>
      </c>
      <c r="H18">
        <f ca="1"/>
        <v>60130</v>
      </c>
      <c r="I18">
        <f ca="1"/>
        <v>2.9945205479452053</v>
      </c>
      <c r="J18" t="str">
        <f ca="1"/>
        <v>IN</v>
      </c>
      <c r="K18">
        <f ca="1"/>
        <v>1804</v>
      </c>
      <c r="L18">
        <f ca="1"/>
        <v>3</v>
      </c>
    </row>
    <row r="19" spans="2:12" x14ac:dyDescent="0.35">
      <c r="B19" t="str">
        <f ca="1"/>
        <v>Oby Sorrel</v>
      </c>
      <c r="C19" t="str">
        <f ca="1"/>
        <v>Female</v>
      </c>
      <c r="D19">
        <f ca="1"/>
        <v>34</v>
      </c>
      <c r="E19" t="str">
        <f ca="1"/>
        <v>Average</v>
      </c>
      <c r="F19">
        <f ca="1"/>
        <v>44653</v>
      </c>
      <c r="G19" t="str">
        <f ca="1"/>
        <v>Finance</v>
      </c>
      <c r="H19">
        <f ca="1"/>
        <v>58940</v>
      </c>
      <c r="I19">
        <f ca="1"/>
        <v>2.7123287671232879</v>
      </c>
      <c r="J19" t="str">
        <f ca="1"/>
        <v>NZ</v>
      </c>
      <c r="K19">
        <f ca="1"/>
        <v>1769</v>
      </c>
      <c r="L19">
        <f ca="1"/>
        <v>3</v>
      </c>
    </row>
    <row r="20" spans="2:12" x14ac:dyDescent="0.35">
      <c r="B20" t="str">
        <f ca="1"/>
        <v>Jehu Rudeforth</v>
      </c>
      <c r="C20" t="str">
        <f ca="1"/>
        <v>Female</v>
      </c>
      <c r="D20">
        <f ca="1"/>
        <v>34</v>
      </c>
      <c r="E20" t="str">
        <f ca="1"/>
        <v>Average</v>
      </c>
      <c r="F20">
        <f ca="1"/>
        <v>44612</v>
      </c>
      <c r="G20" t="str">
        <f ca="1"/>
        <v>Finance</v>
      </c>
      <c r="H20">
        <f ca="1"/>
        <v>60130</v>
      </c>
      <c r="I20">
        <f ca="1"/>
        <v>2.8246575342465752</v>
      </c>
      <c r="J20" t="str">
        <f ca="1"/>
        <v>NZ</v>
      </c>
      <c r="K20">
        <f ca="1"/>
        <v>1804</v>
      </c>
      <c r="L20">
        <f ca="1"/>
        <v>3</v>
      </c>
    </row>
    <row r="21" spans="2:12" x14ac:dyDescent="0.35">
      <c r="B21" t="str">
        <f ca="1"/>
        <v>Leilah Yesinin</v>
      </c>
      <c r="C21" t="str">
        <f ca="1"/>
        <v>Female</v>
      </c>
      <c r="D21">
        <f ca="1"/>
        <v>34</v>
      </c>
      <c r="E21" t="str">
        <f ca="1"/>
        <v>Average</v>
      </c>
      <c r="F21">
        <f ca="1"/>
        <v>44445</v>
      </c>
      <c r="G21" t="str">
        <f ca="1"/>
        <v>Finance</v>
      </c>
      <c r="H21">
        <f ca="1"/>
        <v>92450</v>
      </c>
      <c r="I21">
        <f ca="1"/>
        <v>3.2821917808219179</v>
      </c>
      <c r="J21" t="str">
        <f ca="1"/>
        <v>NZ</v>
      </c>
      <c r="K21">
        <f ca="1"/>
        <v>2774</v>
      </c>
      <c r="L21">
        <f ca="1"/>
        <v>3</v>
      </c>
    </row>
    <row r="22" spans="2:12" x14ac:dyDescent="0.35">
      <c r="B22" t="str">
        <f ca="1"/>
        <v>Karlen McCaffrey</v>
      </c>
      <c r="C22" t="str">
        <f ca="1"/>
        <v>Female</v>
      </c>
      <c r="D22">
        <f ca="1"/>
        <v>34</v>
      </c>
      <c r="E22" t="str">
        <f ca="1"/>
        <v>Average</v>
      </c>
      <c r="F22">
        <f ca="1"/>
        <v>44459</v>
      </c>
      <c r="G22" t="str">
        <f ca="1"/>
        <v>Finance</v>
      </c>
      <c r="H22">
        <f ca="1"/>
        <v>85000</v>
      </c>
      <c r="I22">
        <f ca="1"/>
        <v>3.2438356164383562</v>
      </c>
      <c r="J22" t="str">
        <f ca="1"/>
        <v>NZ</v>
      </c>
      <c r="K22">
        <f ca="1"/>
        <v>2550</v>
      </c>
      <c r="L22">
        <f ca="1"/>
        <v>3</v>
      </c>
    </row>
    <row r="23" spans="2:12" x14ac:dyDescent="0.35">
      <c r="B23" t="str">
        <f ca="1"/>
        <v>Kevalkumar Solanki</v>
      </c>
      <c r="C23" t="str">
        <f ca="1"/>
        <v>Female</v>
      </c>
      <c r="D23">
        <f ca="1"/>
        <v>33</v>
      </c>
      <c r="E23" t="str">
        <f ca="1"/>
        <v>Average</v>
      </c>
      <c r="F23">
        <f ca="1"/>
        <v>44006</v>
      </c>
      <c r="G23" t="str">
        <f ca="1"/>
        <v>Finance</v>
      </c>
      <c r="H23">
        <f ca="1"/>
        <v>65360</v>
      </c>
      <c r="I23">
        <f ca="1"/>
        <v>4.484931506849315</v>
      </c>
      <c r="J23" t="str">
        <f ca="1"/>
        <v>IN</v>
      </c>
      <c r="K23">
        <f ca="1"/>
        <v>1961</v>
      </c>
      <c r="L23">
        <f ca="1"/>
        <v>3</v>
      </c>
    </row>
    <row r="24" spans="2:12" x14ac:dyDescent="0.35">
      <c r="B24" t="str">
        <f ca="1"/>
        <v>Madhumati Gazala Soumitra</v>
      </c>
      <c r="C24" t="str">
        <f ca="1"/>
        <v>Female</v>
      </c>
      <c r="D24">
        <f ca="1"/>
        <v>33</v>
      </c>
      <c r="E24" t="str">
        <f ca="1"/>
        <v>Average</v>
      </c>
      <c r="F24">
        <f ca="1"/>
        <v>44747</v>
      </c>
      <c r="G24" t="str">
        <f ca="1"/>
        <v>Finance</v>
      </c>
      <c r="H24">
        <f ca="1"/>
        <v>86570</v>
      </c>
      <c r="I24">
        <f ca="1"/>
        <v>2.4547945205479453</v>
      </c>
      <c r="J24" t="str">
        <f ca="1"/>
        <v>IN</v>
      </c>
      <c r="K24">
        <f ca="1"/>
        <v>2598</v>
      </c>
      <c r="L24">
        <f ca="1"/>
        <v>3</v>
      </c>
    </row>
    <row r="25" spans="2:12" x14ac:dyDescent="0.35">
      <c r="B25" t="str">
        <f ca="1"/>
        <v>Asija Pothireddy</v>
      </c>
      <c r="C25" t="str">
        <f ca="1"/>
        <v>Male</v>
      </c>
      <c r="D25">
        <f ca="1"/>
        <v>33</v>
      </c>
      <c r="E25" t="str">
        <f ca="1"/>
        <v>Average</v>
      </c>
      <c r="F25">
        <f ca="1"/>
        <v>44181</v>
      </c>
      <c r="G25" t="str">
        <f ca="1"/>
        <v>Finance</v>
      </c>
      <c r="H25">
        <f ca="1"/>
        <v>59430</v>
      </c>
      <c r="I25">
        <f ca="1"/>
        <v>4.0054794520547947</v>
      </c>
      <c r="J25" t="str">
        <f ca="1"/>
        <v>IN</v>
      </c>
      <c r="K25">
        <f ca="1"/>
        <v>1783</v>
      </c>
      <c r="L25">
        <f ca="1"/>
        <v>3</v>
      </c>
    </row>
    <row r="26" spans="2:12" x14ac:dyDescent="0.35">
      <c r="B26" t="str">
        <f ca="1"/>
        <v>Sibyl Dunkirk</v>
      </c>
      <c r="C26" t="str">
        <f ca="1"/>
        <v>Female</v>
      </c>
      <c r="D26">
        <f ca="1"/>
        <v>33</v>
      </c>
      <c r="E26" t="str">
        <f ca="1"/>
        <v>Average</v>
      </c>
      <c r="F26">
        <f ca="1"/>
        <v>44809</v>
      </c>
      <c r="G26" t="str">
        <f ca="1"/>
        <v>Finance</v>
      </c>
      <c r="H26">
        <f ca="1"/>
        <v>86570</v>
      </c>
      <c r="I26">
        <f ca="1"/>
        <v>2.2849315068493152</v>
      </c>
      <c r="J26" t="str">
        <f ca="1"/>
        <v>NZ</v>
      </c>
      <c r="K26">
        <f ca="1"/>
        <v>2598</v>
      </c>
      <c r="L26">
        <f ca="1"/>
        <v>3</v>
      </c>
    </row>
    <row r="27" spans="2:12" x14ac:dyDescent="0.35">
      <c r="B27" t="str">
        <f ca="1"/>
        <v>My Hanscome</v>
      </c>
      <c r="C27" t="str">
        <f ca="1"/>
        <v>Male</v>
      </c>
      <c r="D27">
        <f ca="1"/>
        <v>33</v>
      </c>
      <c r="E27" t="str">
        <f ca="1"/>
        <v>Average</v>
      </c>
      <c r="F27">
        <f ca="1"/>
        <v>44243</v>
      </c>
      <c r="G27" t="str">
        <f ca="1"/>
        <v>Finance</v>
      </c>
      <c r="H27">
        <f ca="1"/>
        <v>59430</v>
      </c>
      <c r="I27">
        <f ca="1"/>
        <v>3.8356164383561642</v>
      </c>
      <c r="J27" t="str">
        <f ca="1"/>
        <v>NZ</v>
      </c>
      <c r="K27">
        <f ca="1"/>
        <v>1783</v>
      </c>
      <c r="L27">
        <f ca="1"/>
        <v>3</v>
      </c>
    </row>
    <row r="28" spans="2:12" x14ac:dyDescent="0.35">
      <c r="B28" t="str">
        <f ca="1"/>
        <v>Teressa Udden</v>
      </c>
      <c r="C28" t="str">
        <f ca="1"/>
        <v>Female</v>
      </c>
      <c r="D28">
        <f ca="1"/>
        <v>33</v>
      </c>
      <c r="E28" t="str">
        <f ca="1"/>
        <v>Average</v>
      </c>
      <c r="F28">
        <f ca="1"/>
        <v>44067</v>
      </c>
      <c r="G28" t="str">
        <f ca="1"/>
        <v>Finance</v>
      </c>
      <c r="H28">
        <f ca="1"/>
        <v>65360</v>
      </c>
      <c r="I28">
        <f ca="1"/>
        <v>4.3178082191780822</v>
      </c>
      <c r="J28" t="str">
        <f ca="1"/>
        <v>NZ</v>
      </c>
      <c r="K28">
        <f ca="1"/>
        <v>1961</v>
      </c>
      <c r="L28">
        <f ca="1"/>
        <v>3</v>
      </c>
    </row>
    <row r="29" spans="2:12" x14ac:dyDescent="0.35">
      <c r="B29" t="str">
        <f ca="1"/>
        <v>Mithil Nadkarni</v>
      </c>
      <c r="C29" t="str">
        <f ca="1"/>
        <v>Male</v>
      </c>
      <c r="D29">
        <f ca="1"/>
        <v>30</v>
      </c>
      <c r="E29" t="str">
        <f ca="1"/>
        <v>Average</v>
      </c>
      <c r="F29">
        <f ca="1"/>
        <v>44544</v>
      </c>
      <c r="G29" t="str">
        <f ca="1"/>
        <v>Finance</v>
      </c>
      <c r="H29">
        <f ca="1"/>
        <v>96800</v>
      </c>
      <c r="I29">
        <f ca="1"/>
        <v>3.010958904109589</v>
      </c>
      <c r="J29" t="str">
        <f ca="1"/>
        <v>IN</v>
      </c>
      <c r="K29">
        <f ca="1"/>
        <v>2904</v>
      </c>
      <c r="L29">
        <f ca="1"/>
        <v>3</v>
      </c>
    </row>
    <row r="30" spans="2:12" x14ac:dyDescent="0.35">
      <c r="B30" t="str">
        <f ca="1"/>
        <v>Upendra Swati</v>
      </c>
      <c r="C30" t="str">
        <f ca="1"/>
        <v>Other</v>
      </c>
      <c r="D30">
        <f ca="1"/>
        <v>30</v>
      </c>
      <c r="E30" t="str">
        <f ca="1"/>
        <v>Average</v>
      </c>
      <c r="F30">
        <f ca="1"/>
        <v>44535</v>
      </c>
      <c r="G30" t="str">
        <f ca="1"/>
        <v>Finance</v>
      </c>
      <c r="H30">
        <f ca="1"/>
        <v>64000</v>
      </c>
      <c r="I30">
        <f ca="1"/>
        <v>3.0356164383561643</v>
      </c>
      <c r="J30" t="str">
        <f ca="1"/>
        <v>IN</v>
      </c>
      <c r="K30">
        <f ca="1"/>
        <v>1920</v>
      </c>
      <c r="L30">
        <f ca="1"/>
        <v>3</v>
      </c>
    </row>
    <row r="31" spans="2:12" x14ac:dyDescent="0.35">
      <c r="B31" t="str">
        <f ca="1"/>
        <v>Curtice Advani</v>
      </c>
      <c r="C31" t="str">
        <f ca="1"/>
        <v>Other</v>
      </c>
      <c r="D31">
        <f ca="1"/>
        <v>30</v>
      </c>
      <c r="E31" t="str">
        <f ca="1"/>
        <v>Average</v>
      </c>
      <c r="F31">
        <f ca="1"/>
        <v>44597</v>
      </c>
      <c r="G31" t="str">
        <f ca="1"/>
        <v>Finance</v>
      </c>
      <c r="H31">
        <f ca="1"/>
        <v>64000</v>
      </c>
      <c r="I31">
        <f ca="1"/>
        <v>2.8657534246575342</v>
      </c>
      <c r="J31" t="str">
        <f ca="1"/>
        <v>NZ</v>
      </c>
      <c r="K31">
        <f ca="1"/>
        <v>1920</v>
      </c>
      <c r="L31">
        <f ca="1"/>
        <v>3</v>
      </c>
    </row>
    <row r="32" spans="2:12" x14ac:dyDescent="0.35">
      <c r="B32" t="str">
        <f ca="1"/>
        <v>Constantino Espley</v>
      </c>
      <c r="C32" t="str">
        <f ca="1"/>
        <v>Male</v>
      </c>
      <c r="D32">
        <f ca="1"/>
        <v>30</v>
      </c>
      <c r="E32" t="str">
        <f ca="1"/>
        <v>Average</v>
      </c>
      <c r="F32">
        <f ca="1"/>
        <v>44606</v>
      </c>
      <c r="G32" t="str">
        <f ca="1"/>
        <v>Finance</v>
      </c>
      <c r="H32">
        <f ca="1"/>
        <v>96800</v>
      </c>
      <c r="I32">
        <f ca="1"/>
        <v>2.8410958904109589</v>
      </c>
      <c r="J32" t="str">
        <f ca="1"/>
        <v>NZ</v>
      </c>
      <c r="K32">
        <f ca="1"/>
        <v>2904</v>
      </c>
      <c r="L32">
        <f ca="1"/>
        <v>3</v>
      </c>
    </row>
    <row r="33" spans="2:12" x14ac:dyDescent="0.35">
      <c r="B33" t="str">
        <f ca="1"/>
        <v>Kantimoy Pritish</v>
      </c>
      <c r="C33" t="str">
        <f ca="1"/>
        <v>Female</v>
      </c>
      <c r="D33">
        <f ca="1"/>
        <v>30</v>
      </c>
      <c r="E33" t="str">
        <f ca="1"/>
        <v>Poor</v>
      </c>
      <c r="F33">
        <f ca="1"/>
        <v>44328</v>
      </c>
      <c r="G33" t="str">
        <f ca="1"/>
        <v>Finance</v>
      </c>
      <c r="H33">
        <f ca="1"/>
        <v>67910</v>
      </c>
      <c r="I33">
        <f ca="1"/>
        <v>3.6027397260273974</v>
      </c>
      <c r="J33" t="str">
        <f ca="1"/>
        <v>IN</v>
      </c>
      <c r="K33">
        <f ca="1"/>
        <v>2038</v>
      </c>
      <c r="L33">
        <f ca="1"/>
        <v>2</v>
      </c>
    </row>
    <row r="34" spans="2:12" x14ac:dyDescent="0.35">
      <c r="B34" t="str">
        <f ca="1"/>
        <v>Husein Augar</v>
      </c>
      <c r="C34" t="str">
        <f ca="1"/>
        <v>Female</v>
      </c>
      <c r="D34">
        <f ca="1"/>
        <v>30</v>
      </c>
      <c r="E34" t="str">
        <f ca="1"/>
        <v>Poor</v>
      </c>
      <c r="F34">
        <f ca="1"/>
        <v>44389</v>
      </c>
      <c r="G34" t="str">
        <f ca="1"/>
        <v>Finance</v>
      </c>
      <c r="H34">
        <f ca="1"/>
        <v>67910</v>
      </c>
      <c r="I34">
        <f ca="1"/>
        <v>3.4356164383561643</v>
      </c>
      <c r="J34" t="str">
        <f ca="1"/>
        <v>NZ</v>
      </c>
      <c r="K34">
        <f ca="1"/>
        <v>2038</v>
      </c>
      <c r="L34">
        <f ca="1"/>
        <v>2</v>
      </c>
    </row>
    <row r="35" spans="2:12" x14ac:dyDescent="0.35">
      <c r="B35" t="str">
        <f ca="1"/>
        <v>Ardhendu Abhichandra Jayakar</v>
      </c>
      <c r="C35" t="str">
        <f ca="1"/>
        <v>Male</v>
      </c>
      <c r="D35">
        <f ca="1"/>
        <v>28</v>
      </c>
      <c r="E35" t="str">
        <f ca="1"/>
        <v>Above average</v>
      </c>
      <c r="F35">
        <f ca="1"/>
        <v>43980</v>
      </c>
      <c r="G35" t="str">
        <f ca="1"/>
        <v>Finance</v>
      </c>
      <c r="H35">
        <f ca="1"/>
        <v>48170</v>
      </c>
      <c r="I35">
        <f ca="1"/>
        <v>4.5561643835616437</v>
      </c>
      <c r="J35" t="str">
        <f ca="1"/>
        <v>IN</v>
      </c>
      <c r="K35">
        <f ca="1"/>
        <v>1446</v>
      </c>
      <c r="L35">
        <f ca="1"/>
        <v>4</v>
      </c>
    </row>
    <row r="36" spans="2:12" x14ac:dyDescent="0.35">
      <c r="B36" t="str">
        <f ca="1"/>
        <v>Jan Morforth</v>
      </c>
      <c r="C36" t="str">
        <f ca="1"/>
        <v>Male</v>
      </c>
      <c r="D36">
        <f ca="1"/>
        <v>28</v>
      </c>
      <c r="E36" t="str">
        <f ca="1"/>
        <v>Above average</v>
      </c>
      <c r="F36">
        <f ca="1"/>
        <v>44041</v>
      </c>
      <c r="G36" t="str">
        <f ca="1"/>
        <v>Finance</v>
      </c>
      <c r="H36">
        <f ca="1"/>
        <v>48170</v>
      </c>
      <c r="I36">
        <f ca="1"/>
        <v>4.3890410958904109</v>
      </c>
      <c r="J36" t="str">
        <f ca="1"/>
        <v>NZ</v>
      </c>
      <c r="K36">
        <f ca="1"/>
        <v>1446</v>
      </c>
      <c r="L36">
        <f ca="1"/>
        <v>4</v>
      </c>
    </row>
    <row r="37" spans="2:12" x14ac:dyDescent="0.35">
      <c r="B37" t="str">
        <f ca="1"/>
        <v>Indu Varada Sumedh</v>
      </c>
      <c r="C37" t="str">
        <f ca="1"/>
        <v>Female</v>
      </c>
      <c r="D37">
        <f ca="1"/>
        <v>28</v>
      </c>
      <c r="E37" t="str">
        <f ca="1"/>
        <v>Average</v>
      </c>
      <c r="F37">
        <f ca="1"/>
        <v>44124</v>
      </c>
      <c r="G37" t="str">
        <f ca="1"/>
        <v>Finance</v>
      </c>
      <c r="H37">
        <f ca="1"/>
        <v>75970</v>
      </c>
      <c r="I37">
        <f ca="1"/>
        <v>4.161643835616438</v>
      </c>
      <c r="J37" t="str">
        <f ca="1"/>
        <v>IN</v>
      </c>
      <c r="K37">
        <f ca="1"/>
        <v>2280</v>
      </c>
      <c r="L37">
        <f ca="1"/>
        <v>3</v>
      </c>
    </row>
    <row r="38" spans="2:12" x14ac:dyDescent="0.35">
      <c r="B38" t="str">
        <f ca="1"/>
        <v>Beverie Moffet</v>
      </c>
      <c r="C38" t="str">
        <f ca="1"/>
        <v>Female</v>
      </c>
      <c r="D38">
        <f ca="1"/>
        <v>28</v>
      </c>
      <c r="E38" t="str">
        <f ca="1"/>
        <v>Average</v>
      </c>
      <c r="F38">
        <f ca="1"/>
        <v>44185</v>
      </c>
      <c r="G38" t="str">
        <f ca="1"/>
        <v>Finance</v>
      </c>
      <c r="H38">
        <f ca="1"/>
        <v>75970</v>
      </c>
      <c r="I38">
        <f ca="1"/>
        <v>3.9945205479452053</v>
      </c>
      <c r="J38" t="str">
        <f ca="1"/>
        <v>NZ</v>
      </c>
      <c r="K38">
        <f ca="1"/>
        <v>2280</v>
      </c>
      <c r="L38">
        <f ca="1"/>
        <v>3</v>
      </c>
    </row>
    <row r="39" spans="2:12" x14ac:dyDescent="0.35">
      <c r="B39" t="str">
        <f ca="1"/>
        <v>Kamalakshi Mukundan</v>
      </c>
      <c r="C39" t="str">
        <f ca="1"/>
        <v>Male</v>
      </c>
      <c r="D39">
        <f ca="1"/>
        <v>27</v>
      </c>
      <c r="E39" t="str">
        <f ca="1"/>
        <v>Above average</v>
      </c>
      <c r="F39">
        <f ca="1"/>
        <v>44174</v>
      </c>
      <c r="G39" t="str">
        <f ca="1"/>
        <v>Finance</v>
      </c>
      <c r="H39">
        <f ca="1"/>
        <v>91650</v>
      </c>
      <c r="I39">
        <f ca="1"/>
        <v>4.0246575342465754</v>
      </c>
      <c r="J39" t="str">
        <f ca="1"/>
        <v>IN</v>
      </c>
      <c r="K39">
        <f ca="1"/>
        <v>2750</v>
      </c>
      <c r="L39">
        <f ca="1"/>
        <v>4</v>
      </c>
    </row>
    <row r="40" spans="2:12" x14ac:dyDescent="0.35">
      <c r="B40" t="str">
        <f ca="1"/>
        <v>Enoch Dowrey</v>
      </c>
      <c r="C40" t="str">
        <f ca="1"/>
        <v>Male</v>
      </c>
      <c r="D40">
        <f ca="1"/>
        <v>27</v>
      </c>
      <c r="E40" t="str">
        <f ca="1"/>
        <v>Above average</v>
      </c>
      <c r="F40">
        <f ca="1"/>
        <v>44236</v>
      </c>
      <c r="G40" t="str">
        <f ca="1"/>
        <v>Finance</v>
      </c>
      <c r="H40">
        <f ca="1"/>
        <v>91650</v>
      </c>
      <c r="I40">
        <f ca="1"/>
        <v>3.8547945205479452</v>
      </c>
      <c r="J40" t="str">
        <f ca="1"/>
        <v>NZ</v>
      </c>
      <c r="K40">
        <f ca="1"/>
        <v>2750</v>
      </c>
      <c r="L40">
        <f ca="1"/>
        <v>4</v>
      </c>
    </row>
    <row r="41" spans="2:12" x14ac:dyDescent="0.35">
      <c r="B41" t="str">
        <f ca="1"/>
        <v>Vanmala Shriharsha</v>
      </c>
      <c r="C41" t="str">
        <f ca="1"/>
        <v>Male</v>
      </c>
      <c r="D41">
        <f ca="1"/>
        <v>27</v>
      </c>
      <c r="E41" t="str">
        <f ca="1"/>
        <v>Average</v>
      </c>
      <c r="F41">
        <f ca="1"/>
        <v>44506</v>
      </c>
      <c r="G41" t="str">
        <f ca="1"/>
        <v>Finance</v>
      </c>
      <c r="H41">
        <f ca="1"/>
        <v>48980</v>
      </c>
      <c r="I41">
        <f ca="1"/>
        <v>3.1150684931506851</v>
      </c>
      <c r="J41" t="str">
        <f ca="1"/>
        <v>IN</v>
      </c>
      <c r="K41">
        <f ca="1"/>
        <v>1470</v>
      </c>
      <c r="L41">
        <f ca="1"/>
        <v>3</v>
      </c>
    </row>
    <row r="42" spans="2:12" x14ac:dyDescent="0.35">
      <c r="B42" t="str">
        <f ca="1"/>
        <v>Esmaria Denecamp</v>
      </c>
      <c r="C42" t="str">
        <f ca="1"/>
        <v>Male</v>
      </c>
      <c r="D42">
        <f ca="1"/>
        <v>27</v>
      </c>
      <c r="E42" t="str">
        <f ca="1"/>
        <v>Average</v>
      </c>
      <c r="F42">
        <f ca="1"/>
        <v>44567</v>
      </c>
      <c r="G42" t="str">
        <f ca="1"/>
        <v>Finance</v>
      </c>
      <c r="H42">
        <f ca="1"/>
        <v>48980</v>
      </c>
      <c r="I42">
        <f ca="1"/>
        <v>2.9479452054794519</v>
      </c>
      <c r="J42" t="str">
        <f ca="1"/>
        <v>NZ</v>
      </c>
      <c r="K42">
        <f ca="1"/>
        <v>1470</v>
      </c>
      <c r="L42">
        <f ca="1"/>
        <v>3</v>
      </c>
    </row>
    <row r="43" spans="2:12" x14ac:dyDescent="0.35">
      <c r="B43" t="str">
        <f ca="1"/>
        <v>Gumwant Veera</v>
      </c>
      <c r="C43" t="str">
        <f ca="1"/>
        <v>Male</v>
      </c>
      <c r="D43">
        <f ca="1"/>
        <v>24</v>
      </c>
      <c r="E43" t="str">
        <f ca="1"/>
        <v>Poor</v>
      </c>
      <c r="F43">
        <f ca="1"/>
        <v>44375</v>
      </c>
      <c r="G43" t="str">
        <f ca="1"/>
        <v>Finance</v>
      </c>
      <c r="H43">
        <f ca="1"/>
        <v>52610</v>
      </c>
      <c r="I43">
        <f ca="1"/>
        <v>3.473972602739726</v>
      </c>
      <c r="J43" t="str">
        <f ca="1"/>
        <v>IN</v>
      </c>
      <c r="K43">
        <f ca="1"/>
        <v>1579</v>
      </c>
      <c r="L43">
        <f ca="1"/>
        <v>2</v>
      </c>
    </row>
    <row r="44" spans="2:12" x14ac:dyDescent="0.35">
      <c r="B44" t="str">
        <f ca="1"/>
        <v>Kaye Crocroft</v>
      </c>
      <c r="C44" t="str">
        <f ca="1"/>
        <v>Male</v>
      </c>
      <c r="D44">
        <f ca="1"/>
        <v>24</v>
      </c>
      <c r="E44" t="str">
        <f ca="1"/>
        <v>Poor</v>
      </c>
      <c r="F44">
        <f ca="1"/>
        <v>44436</v>
      </c>
      <c r="G44" t="str">
        <f ca="1"/>
        <v>Finance</v>
      </c>
      <c r="H44">
        <f ca="1"/>
        <v>52610</v>
      </c>
      <c r="I44">
        <f ca="1"/>
        <v>3.3068493150684932</v>
      </c>
      <c r="J44" t="str">
        <f ca="1"/>
        <v>NZ</v>
      </c>
      <c r="K44">
        <f ca="1"/>
        <v>1579</v>
      </c>
      <c r="L44">
        <f ca="1"/>
        <v>2</v>
      </c>
    </row>
    <row r="45" spans="2:12" x14ac:dyDescent="0.35">
      <c r="B45" t="str">
        <f ca="1"/>
        <v>Agrata Rajarama</v>
      </c>
      <c r="C45" t="str">
        <f ca="1"/>
        <v>Female</v>
      </c>
      <c r="D45">
        <f ca="1"/>
        <v>21</v>
      </c>
      <c r="E45" t="str">
        <f ca="1"/>
        <v>Average</v>
      </c>
      <c r="F45">
        <f ca="1"/>
        <v>44256</v>
      </c>
      <c r="G45" t="str">
        <f ca="1"/>
        <v>Finance</v>
      </c>
      <c r="H45">
        <f ca="1"/>
        <v>65920</v>
      </c>
      <c r="I45">
        <f ca="1"/>
        <v>3.8</v>
      </c>
      <c r="J45" t="str">
        <f ca="1"/>
        <v>IN</v>
      </c>
      <c r="K45">
        <f ca="1"/>
        <v>1978</v>
      </c>
      <c r="L45">
        <f ca="1"/>
        <v>3</v>
      </c>
    </row>
    <row r="46" spans="2:12" x14ac:dyDescent="0.35">
      <c r="B46" t="str">
        <f ca="1"/>
        <v>Marney O'Breen</v>
      </c>
      <c r="C46" t="str">
        <f ca="1"/>
        <v>Female</v>
      </c>
      <c r="D46">
        <f ca="1"/>
        <v>21</v>
      </c>
      <c r="E46" t="str">
        <f ca="1"/>
        <v>Average</v>
      </c>
      <c r="F46">
        <f ca="1"/>
        <v>44317</v>
      </c>
      <c r="G46" t="str">
        <f ca="1"/>
        <v>Finance</v>
      </c>
      <c r="H46">
        <f ca="1"/>
        <v>65920</v>
      </c>
      <c r="I46">
        <f ca="1"/>
        <v>3.6328767123287671</v>
      </c>
      <c r="J46" t="str">
        <f ca="1"/>
        <v>NZ</v>
      </c>
      <c r="K46">
        <f ca="1"/>
        <v>1978</v>
      </c>
      <c r="L46">
        <f ca="1"/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439C-3AD2-499D-93B0-A5A44E590E97}">
  <dimension ref="A1"/>
  <sheetViews>
    <sheetView workbookViewId="0">
      <selection activeCell="K19" sqref="K19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A7E6B3-8F20-49BA-91B0-02F168FD75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nz staff</vt:lpstr>
      <vt:lpstr>India Staff</vt:lpstr>
      <vt:lpstr>Salary VS Rating</vt:lpstr>
      <vt:lpstr>Date - Name</vt:lpstr>
      <vt:lpstr>Dept Count</vt:lpstr>
      <vt:lpstr>All Staff</vt:lpstr>
      <vt:lpstr>Gender 3 metric</vt:lpstr>
      <vt:lpstr>Report Card</vt:lpstr>
      <vt:lpstr>Sort - Filter</vt:lpstr>
      <vt:lpstr>Salary 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Karade</dc:creator>
  <cp:lastModifiedBy>Shubham Karade</cp:lastModifiedBy>
  <dcterms:created xsi:type="dcterms:W3CDTF">2024-12-02T07:53:19Z</dcterms:created>
  <dcterms:modified xsi:type="dcterms:W3CDTF">2024-12-17T20:16:14Z</dcterms:modified>
</cp:coreProperties>
</file>